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xml"/>
  <Override PartName="/xl/comments5.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xml"/>
  <Override PartName="/xl/comments6.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C:\Users\Jenny\Dropbox\Pharmacy - ADMIN\De-identified Pharmacy Reports\Example Generic - Final report - April 2018\"/>
    </mc:Choice>
  </mc:AlternateContent>
  <xr:revisionPtr revIDLastSave="0" documentId="8_{5E73B4BB-D496-4D72-97AF-5F68B94C403B}" xr6:coauthVersionLast="41" xr6:coauthVersionMax="41" xr10:uidLastSave="{00000000-0000-0000-0000-000000000000}"/>
  <bookViews>
    <workbookView xWindow="0" yWindow="0" windowWidth="20490" windowHeight="10920" tabRatio="922" xr2:uid="{00000000-000D-0000-FFFF-FFFF00000000}"/>
  </bookViews>
  <sheets>
    <sheet name="User Guide" sheetId="10" r:id="rId1"/>
    <sheet name="Introduction" sheetId="6" r:id="rId2"/>
    <sheet name="Workflow analysis" sheetId="24" r:id="rId3"/>
    <sheet name="Benchmarking results P1" sheetId="22" r:id="rId4"/>
    <sheet name="Benchmarking results P2" sheetId="14" r:id="rId5"/>
    <sheet name="Benchmarking results P3" sheetId="15" r:id="rId6"/>
    <sheet name="Benchmarking results P4" sheetId="16" r:id="rId7"/>
    <sheet name="Benchmarking results P5" sheetId="19" state="hidden" r:id="rId8"/>
    <sheet name="Benchmarking results P6" sheetId="20" r:id="rId9"/>
    <sheet name="Benchmarking results P7" sheetId="17" r:id="rId10"/>
    <sheet name="Hypothesis for optimum success" sheetId="23" r:id="rId11"/>
    <sheet name="Change agenda " sheetId="9" r:id="rId12"/>
    <sheet name="Data" sheetId="11" state="hidden" r:id="rId13"/>
    <sheet name="Gauge_Settings" sheetId="12" state="veryHidden" r:id="rId14"/>
  </sheets>
  <externalReferences>
    <externalReference r:id="rId15"/>
  </externalReferences>
  <definedNames>
    <definedName name="DAA_Limits" localSheetId="2" hidden="1">[1]Gauge_Settings!$F$64:$I$66</definedName>
    <definedName name="DAA_Limits" hidden="1">Gauge_Settings!$F$64:$I$66</definedName>
    <definedName name="DAA_Scales" hidden="1">Gauge_Settings!$J$23:$Q$23</definedName>
    <definedName name="DAA_Values" localSheetId="2" hidden="1">[1]Gauge_Settings!$A$45:$E$46</definedName>
    <definedName name="DAA_Values" hidden="1">Gauge_Settings!$A$45:$E$46</definedName>
    <definedName name="GaugeLimits" hidden="1">Gauge_Settings!$F:$I</definedName>
    <definedName name="GaugeScales" hidden="1">Gauge_Settings!$J:$Q</definedName>
    <definedName name="GaugeValues" hidden="1">Gauge_Settings!$A:$F</definedName>
    <definedName name="GuageSettings" hidden="1">Gauge_Settings!$R$1:$BL$30</definedName>
    <definedName name="M.1_Limits" localSheetId="2" hidden="1">[1]Gauge_Settings!$F$1:$I$3</definedName>
    <definedName name="M.1_Limits" hidden="1">Gauge_Settings!$F$1:$I$3</definedName>
    <definedName name="M.1_Scales" hidden="1">Gauge_Settings!$J$1:$Q$1</definedName>
    <definedName name="M.1_Values" localSheetId="2" hidden="1">[1]Gauge_Settings!$A$1:$E$2</definedName>
    <definedName name="M.1_Values" hidden="1">Gauge_Settings!$A$1:$E$2</definedName>
    <definedName name="M.12_Limits" localSheetId="2" hidden="1">[1]Gauge_Settings!$F$52:$I$54</definedName>
    <definedName name="M.12_Limits" hidden="1">Gauge_Settings!$F$52:$I$54</definedName>
    <definedName name="M.12_Scales" hidden="1">Gauge_Settings!$J$19:$Q$19</definedName>
    <definedName name="M.12_Values" localSheetId="2" hidden="1">[1]Gauge_Settings!$A$37:$E$38</definedName>
    <definedName name="M.12_Values" hidden="1">Gauge_Settings!$A$37:$E$38</definedName>
    <definedName name="M.13_Limits" localSheetId="2" hidden="1">[1]Gauge_Settings!$F$55:$I$57</definedName>
    <definedName name="M.13_Limits" hidden="1">Gauge_Settings!$F$55:$I$57</definedName>
    <definedName name="M.13_Scales" hidden="1">Gauge_Settings!$J$20:$Q$20</definedName>
    <definedName name="M.13_Values" localSheetId="2" hidden="1">[1]Gauge_Settings!$A$39:$E$40</definedName>
    <definedName name="M.13_Values" hidden="1">Gauge_Settings!$A$39:$E$40</definedName>
    <definedName name="M.14_Limits" localSheetId="2" hidden="1">[1]Gauge_Settings!$F$10:$I$12</definedName>
    <definedName name="M.14_Limits" hidden="1">Gauge_Settings!$F$10:$I$12</definedName>
    <definedName name="M.14_Scales" hidden="1">Gauge_Settings!$J$5:$Q$5</definedName>
    <definedName name="M.14_Values" localSheetId="2" hidden="1">[1]Gauge_Settings!$A$9:$E$10</definedName>
    <definedName name="M.14_Values" hidden="1">Gauge_Settings!$A$9:$E$10</definedName>
    <definedName name="M.15_Limits" localSheetId="2" hidden="1">[1]Gauge_Settings!$F$13:$I$15</definedName>
    <definedName name="M.15_Limits" hidden="1">Gauge_Settings!$F$13:$I$15</definedName>
    <definedName name="M.15_Scales" hidden="1">Gauge_Settings!$J$6:$Q$6</definedName>
    <definedName name="M.15_Values" localSheetId="2" hidden="1">[1]Gauge_Settings!$A$11:$E$12</definedName>
    <definedName name="M.15_Values" hidden="1">Gauge_Settings!$A$11:$E$12</definedName>
    <definedName name="M.15copy_Limits" localSheetId="2" hidden="1">[1]Gauge_Settings!$F$85:$I$87</definedName>
    <definedName name="M.15copy_Limits" hidden="1">Gauge_Settings!$F$85:$I$87</definedName>
    <definedName name="M.15copy_Scales" hidden="1">Gauge_Settings!$J$30:$Q$30</definedName>
    <definedName name="M.15copy_Values" localSheetId="2" hidden="1">[1]Gauge_Settings!$A$61:$E$62</definedName>
    <definedName name="M.15copy_Values" hidden="1">Gauge_Settings!$A$61:$E$62</definedName>
    <definedName name="M.16_Limits" localSheetId="2" hidden="1">[1]Gauge_Settings!$F$16:$I$18</definedName>
    <definedName name="M.16_Limits" hidden="1">Gauge_Settings!$F$16:$I$18</definedName>
    <definedName name="M.16_Scales" hidden="1">Gauge_Settings!$J$7:$Q$7</definedName>
    <definedName name="M.16_Values" localSheetId="2" hidden="1">[1]Gauge_Settings!$A$13:$E$14</definedName>
    <definedName name="M.16_Values" hidden="1">Gauge_Settings!$A$13:$E$14</definedName>
    <definedName name="M.16copy_Limits" localSheetId="2" hidden="1">[1]Gauge_Settings!$F$88:$I$90</definedName>
    <definedName name="M.16copy_Limits" hidden="1">Gauge_Settings!$F$88:$I$90</definedName>
    <definedName name="M.16copy_Scales" hidden="1">Gauge_Settings!$J$31:$Q$31</definedName>
    <definedName name="M.16copy_Values" localSheetId="2" hidden="1">[1]Gauge_Settings!$A$63:$E$64</definedName>
    <definedName name="M.16copy_Values" hidden="1">Gauge_Settings!$A$63:$E$64</definedName>
    <definedName name="M.17_Limits" localSheetId="2" hidden="1">[1]Gauge_Settings!$F$19:$I$21</definedName>
    <definedName name="M.17_Limits" hidden="1">Gauge_Settings!$F$19:$I$21</definedName>
    <definedName name="M.17_Scales" hidden="1">Gauge_Settings!$J$8:$Q$8</definedName>
    <definedName name="M.17_Values" localSheetId="2" hidden="1">[1]Gauge_Settings!$A$15:$E$16</definedName>
    <definedName name="M.17_Values" hidden="1">Gauge_Settings!$A$15:$E$16</definedName>
    <definedName name="M.18_Limits" localSheetId="2" hidden="1">[1]Gauge_Settings!$F$22:$I$24</definedName>
    <definedName name="M.18_Limits" hidden="1">Gauge_Settings!$F$22:$I$24</definedName>
    <definedName name="M.18_Scales" hidden="1">Gauge_Settings!$J$9:$Q$9</definedName>
    <definedName name="M.18_Values" localSheetId="2" hidden="1">[1]Gauge_Settings!$A$17:$E$18</definedName>
    <definedName name="M.18_Values" hidden="1">Gauge_Settings!$A$17:$E$18</definedName>
    <definedName name="M.19A_Limits" localSheetId="2" hidden="1">[1]Gauge_Settings!$F$67:$I$69</definedName>
    <definedName name="M.19A_Limits" hidden="1">Gauge_Settings!$F$67:$I$69</definedName>
    <definedName name="M.19A_Scales" hidden="1">Gauge_Settings!$J$24:$Q$24</definedName>
    <definedName name="M.19A_Values" localSheetId="2" hidden="1">[1]Gauge_Settings!$A$49:$E$50</definedName>
    <definedName name="M.19A_Values" hidden="1">Gauge_Settings!$A$49:$E$50</definedName>
    <definedName name="M.20_Limits" localSheetId="2" hidden="1">[1]Gauge_Settings!$F$25:$I$27</definedName>
    <definedName name="M.20_Limits" hidden="1">Gauge_Settings!$F$25:$I$27</definedName>
    <definedName name="M.20_Scales" hidden="1">Gauge_Settings!$J$10:$Q$10</definedName>
    <definedName name="M.20_Values" localSheetId="2" hidden="1">[1]Gauge_Settings!$A$19:$E$20</definedName>
    <definedName name="M.20_Values" hidden="1">Gauge_Settings!$A$19:$E$20</definedName>
    <definedName name="M.23_Limits" localSheetId="2" hidden="1">[1]Gauge_Settings!$F$28:$I$30</definedName>
    <definedName name="M.23_Limits" hidden="1">Gauge_Settings!$F$28:$I$30</definedName>
    <definedName name="M.23_Scales" hidden="1">Gauge_Settings!$J$11:$Q$11</definedName>
    <definedName name="M.23_Values" localSheetId="2" hidden="1">[1]Gauge_Settings!$A$21:$E$22</definedName>
    <definedName name="M.23_Values" hidden="1">Gauge_Settings!$A$21:$E$22</definedName>
    <definedName name="M.24_Limits" localSheetId="2" hidden="1">[1]Gauge_Settings!$F$31:$I$33</definedName>
    <definedName name="M.24_Limits" hidden="1">Gauge_Settings!$F$31:$I$33</definedName>
    <definedName name="M.24_Scales" hidden="1">Gauge_Settings!$J$12:$Q$12</definedName>
    <definedName name="M.24_Values" localSheetId="2" hidden="1">[1]Gauge_Settings!$A$23:$E$24</definedName>
    <definedName name="M.24_Values" hidden="1">Gauge_Settings!$A$23:$E$24</definedName>
    <definedName name="M.26_Limits" localSheetId="2" hidden="1">[1]Gauge_Settings!$F$34:$I$36</definedName>
    <definedName name="M.26_Limits" hidden="1">Gauge_Settings!$F$34:$I$36</definedName>
    <definedName name="M.26_Scales" hidden="1">Gauge_Settings!$J$13:$Q$13</definedName>
    <definedName name="M.26_Values" localSheetId="2" hidden="1">[1]Gauge_Settings!$A$25:$E$26</definedName>
    <definedName name="M.26_Values" hidden="1">Gauge_Settings!$A$25:$E$26</definedName>
    <definedName name="M.26B_Limits" localSheetId="2" hidden="1">[1]Gauge_Settings!$F$58:$I$60</definedName>
    <definedName name="M.26B_Limits" hidden="1">Gauge_Settings!$F$58:$I$60</definedName>
    <definedName name="M.26B_Scales" hidden="1">Gauge_Settings!$J$21:$Q$21</definedName>
    <definedName name="M.26B_Values" localSheetId="2" hidden="1">[1]Gauge_Settings!$A$41:$E$42</definedName>
    <definedName name="M.26B_Values" hidden="1">Gauge_Settings!$A$41:$E$42</definedName>
    <definedName name="M.26C_Limits" localSheetId="2" hidden="1">[1]Gauge_Settings!$F$61:$I$63</definedName>
    <definedName name="M.26C_Limits" hidden="1">Gauge_Settings!$F$61:$I$63</definedName>
    <definedName name="M.26C_Scales" hidden="1">Gauge_Settings!$J$22:$Q$22</definedName>
    <definedName name="M.26C_Values" localSheetId="2" hidden="1">[1]Gauge_Settings!$A$43:$E$44</definedName>
    <definedName name="M.26C_Values" hidden="1">Gauge_Settings!$A$43:$E$44</definedName>
    <definedName name="M.27_Limits" localSheetId="2" hidden="1">[1]Gauge_Settings!$F$37:$I$39</definedName>
    <definedName name="M.27_Limits" hidden="1">Gauge_Settings!$F$37:$I$39</definedName>
    <definedName name="M.27_Scales" hidden="1">Gauge_Settings!$J$14:$Q$14</definedName>
    <definedName name="M.27_Values" localSheetId="2" hidden="1">[1]Gauge_Settings!$A$27:$E$28</definedName>
    <definedName name="M.27_Values" hidden="1">Gauge_Settings!$A$27:$E$28</definedName>
    <definedName name="M.28_Limits" localSheetId="2" hidden="1">[1]Gauge_Settings!$F$40:$I$42</definedName>
    <definedName name="M.28_Limits" hidden="1">Gauge_Settings!$F$40:$I$42</definedName>
    <definedName name="M.28_Scales" hidden="1">Gauge_Settings!$J$15:$Q$15</definedName>
    <definedName name="M.28_Values" localSheetId="2" hidden="1">[1]Gauge_Settings!$A$29:$E$30</definedName>
    <definedName name="M.28_Values" hidden="1">Gauge_Settings!$A$29:$E$30</definedName>
    <definedName name="M.29_Limits" localSheetId="2" hidden="1">[1]Gauge_Settings!$F$43:$I$45</definedName>
    <definedName name="M.29_Limits" hidden="1">Gauge_Settings!$F$43:$I$45</definedName>
    <definedName name="M.29_Scales" hidden="1">Gauge_Settings!$J$16:$Q$16</definedName>
    <definedName name="M.29_Values" localSheetId="2" hidden="1">[1]Gauge_Settings!$A$31:$E$32</definedName>
    <definedName name="M.29_Values" hidden="1">Gauge_Settings!$A$31:$E$32</definedName>
    <definedName name="M.30_Limits" localSheetId="2" hidden="1">[1]Gauge_Settings!$F$46:$I$48</definedName>
    <definedName name="M.30_Limits" hidden="1">Gauge_Settings!$F$46:$I$48</definedName>
    <definedName name="M.30_Scales" hidden="1">Gauge_Settings!$J$17:$Q$17</definedName>
    <definedName name="M.30_Values" localSheetId="2" hidden="1">[1]Gauge_Settings!$A$33:$E$34</definedName>
    <definedName name="M.30_Values" hidden="1">Gauge_Settings!$A$33:$E$34</definedName>
    <definedName name="M.34_Limits" localSheetId="2" hidden="1">[1]Gauge_Settings!$F$70:$I$72</definedName>
    <definedName name="M.34_Limits" hidden="1">Gauge_Settings!$F$70:$I$72</definedName>
    <definedName name="M.34_Scales" hidden="1">Gauge_Settings!$J$25:$Q$25</definedName>
    <definedName name="M.34_Values" localSheetId="2" hidden="1">[1]Gauge_Settings!$A$51:$E$52</definedName>
    <definedName name="M.34_Values" hidden="1">Gauge_Settings!$A$51:$E$52</definedName>
    <definedName name="M.35_Limits" localSheetId="2" hidden="1">[1]Gauge_Settings!$F$73:$I$75</definedName>
    <definedName name="M.35_Limits" hidden="1">Gauge_Settings!$F$73:$I$75</definedName>
    <definedName name="M.35_Scales" hidden="1">Gauge_Settings!$J$26:$Q$26</definedName>
    <definedName name="M.35_Values" localSheetId="2" hidden="1">[1]Gauge_Settings!$A$53:$E$54</definedName>
    <definedName name="M.35_Values" hidden="1">Gauge_Settings!$A$53:$E$54</definedName>
    <definedName name="M.36_Limits" localSheetId="2" hidden="1">[1]Gauge_Settings!$F$76:$I$78</definedName>
    <definedName name="M.36_Limits" hidden="1">Gauge_Settings!$F$76:$I$78</definedName>
    <definedName name="M.36_Scales" hidden="1">Gauge_Settings!$J$27:$Q$27</definedName>
    <definedName name="M.36_Values" localSheetId="2" hidden="1">[1]Gauge_Settings!$A$55:$E$56</definedName>
    <definedName name="M.36_Values" hidden="1">Gauge_Settings!$A$55:$E$56</definedName>
    <definedName name="M.37_Limits" localSheetId="2" hidden="1">[1]Gauge_Settings!$F$79:$I$81</definedName>
    <definedName name="M.37_Limits" hidden="1">Gauge_Settings!$F$79:$I$81</definedName>
    <definedName name="M.37_Scales" hidden="1">Gauge_Settings!$J$28:$Q$28</definedName>
    <definedName name="M.37_Values" localSheetId="2" hidden="1">[1]Gauge_Settings!$A$57:$E$58</definedName>
    <definedName name="M.37_Values" hidden="1">Gauge_Settings!$A$57:$E$58</definedName>
    <definedName name="M.37copy_Limits" localSheetId="2" hidden="1">[1]Gauge_Settings!$F$82:$I$84</definedName>
    <definedName name="M.37copy_Limits" hidden="1">Gauge_Settings!$F$82:$I$84</definedName>
    <definedName name="M.37copy_Scales" hidden="1">Gauge_Settings!$J$29:$Q$29</definedName>
    <definedName name="M.37copy_Values" localSheetId="2" hidden="1">[1]Gauge_Settings!$A$59:$E$60</definedName>
    <definedName name="M.37copy_Values" hidden="1">Gauge_Settings!$A$59:$E$60</definedName>
    <definedName name="M.5_Limits" localSheetId="2" hidden="1">[1]Gauge_Settings!$F$7:$I$9</definedName>
    <definedName name="M.5_Limits" hidden="1">Gauge_Settings!$F$7:$I$9</definedName>
    <definedName name="M.5_Scales" hidden="1">Gauge_Settings!$J$3:$Q$3</definedName>
    <definedName name="M.5_Values" localSheetId="2" hidden="1">[1]Gauge_Settings!$A$5:$E$6</definedName>
    <definedName name="M.5_Values" hidden="1">Gauge_Settings!$A$5:$E$6</definedName>
    <definedName name="M.6_Limits" localSheetId="2" hidden="1">[1]Gauge_Settings!$F$49:$I$51</definedName>
    <definedName name="M.6_Limits" hidden="1">Gauge_Settings!$F$49:$I$51</definedName>
    <definedName name="M.6_Scales" hidden="1">Gauge_Settings!$J$18:$Q$18</definedName>
    <definedName name="M.6_Values" localSheetId="2" hidden="1">[1]Gauge_Settings!$A$35:$E$36</definedName>
    <definedName name="M.6_Values" hidden="1">Gauge_Settings!$A$35:$E$36</definedName>
    <definedName name="M.7_Limits" localSheetId="2" hidden="1">[1]Gauge_Settings!$F$4:$I$6</definedName>
    <definedName name="M.7_Limits" hidden="1">Gauge_Settings!$F$4:$I$6</definedName>
    <definedName name="M.7_Scales" hidden="1">Gauge_Settings!$J$2:$Q$2</definedName>
    <definedName name="M.7_Values" localSheetId="2" hidden="1">[1]Gauge_Settings!$A$3:$E$4</definedName>
    <definedName name="M.7_Values" hidden="1">Gauge_Settings!$A$3:$E$4</definedName>
    <definedName name="M.8_Scales" hidden="1">Gauge_Settings!$J$4:$Q$4</definedName>
    <definedName name="M.8_Values" hidden="1">Gauge_Settings!$A$7:$E$8</definedName>
    <definedName name="_xlnm.Print_Area" localSheetId="3">'Benchmarking results P1'!$A$1:$S$110</definedName>
    <definedName name="_xlnm.Print_Area" localSheetId="4">'Benchmarking results P2'!$A$1:$T$50</definedName>
    <definedName name="_xlnm.Print_Area" localSheetId="5">'Benchmarking results P3'!$A$1:$P$120</definedName>
    <definedName name="_xlnm.Print_Area" localSheetId="6">'Benchmarking results P4'!$A$1:$O$103</definedName>
    <definedName name="_xlnm.Print_Area" localSheetId="7">'Benchmarking results P5'!$A$1:$AD$103</definedName>
    <definedName name="_xlnm.Print_Area" localSheetId="8">'Benchmarking results P6'!$A$1:$Q$32</definedName>
    <definedName name="_xlnm.Print_Area" localSheetId="9">'Benchmarking results P7'!$A$1:$W$57</definedName>
    <definedName name="_xlnm.Print_Area" localSheetId="1">Introduction!$A$1:$N$39</definedName>
    <definedName name="_xlnm.Print_Area" localSheetId="0">'User Guide'!$A$1:$O$60</definedName>
    <definedName name="_xlnm.Print_Area" localSheetId="2">'Workflow analysis'!$A$1:$U$42</definedName>
  </definedNames>
  <calcPr calcId="181029"/>
</workbook>
</file>

<file path=xl/calcChain.xml><?xml version="1.0" encoding="utf-8"?>
<calcChain xmlns="http://schemas.openxmlformats.org/spreadsheetml/2006/main">
  <c r="D75" i="16" l="1"/>
  <c r="D61" i="16"/>
  <c r="D46" i="16"/>
  <c r="D6" i="15"/>
  <c r="F15" i="11"/>
  <c r="G15" i="11" s="1"/>
  <c r="AO19" i="12"/>
  <c r="W19" i="12"/>
  <c r="K20" i="12"/>
  <c r="H57" i="12"/>
  <c r="H56" i="12"/>
  <c r="H55" i="12"/>
  <c r="G57" i="12"/>
  <c r="G56" i="12"/>
  <c r="G55" i="12"/>
  <c r="B40" i="12"/>
  <c r="B39" i="12"/>
  <c r="AO18" i="12"/>
  <c r="W18" i="12"/>
  <c r="K19" i="12"/>
  <c r="H54" i="12"/>
  <c r="H53" i="12"/>
  <c r="H52" i="12"/>
  <c r="G54" i="12"/>
  <c r="G53" i="12"/>
  <c r="G52" i="12"/>
  <c r="B38" i="12"/>
  <c r="B37" i="12"/>
  <c r="AO17" i="12"/>
  <c r="W17" i="12"/>
  <c r="K18" i="12"/>
  <c r="H51" i="12"/>
  <c r="H50" i="12"/>
  <c r="H49" i="12"/>
  <c r="G51" i="12"/>
  <c r="G50" i="12"/>
  <c r="G49" i="12"/>
  <c r="B36" i="12"/>
  <c r="B35" i="12"/>
  <c r="A35" i="12"/>
  <c r="AO3" i="12"/>
  <c r="W3" i="12"/>
  <c r="K3" i="12"/>
  <c r="H9" i="12"/>
  <c r="H8" i="12"/>
  <c r="H7" i="12"/>
  <c r="G9" i="12"/>
  <c r="G8" i="12"/>
  <c r="G7" i="12"/>
  <c r="B6" i="12"/>
  <c r="B5" i="12"/>
  <c r="AO23" i="12"/>
  <c r="W23" i="12"/>
  <c r="K24" i="12"/>
  <c r="H69" i="12"/>
  <c r="H68" i="12"/>
  <c r="H67" i="12"/>
  <c r="G69" i="12"/>
  <c r="G68" i="12"/>
  <c r="G67" i="12"/>
  <c r="B50" i="12"/>
  <c r="B49" i="12"/>
  <c r="C44" i="11"/>
  <c r="A6" i="12" s="1"/>
  <c r="C43" i="11"/>
  <c r="A5" i="12" s="1"/>
  <c r="C54" i="11"/>
  <c r="A36" i="12" s="1"/>
  <c r="C53" i="11"/>
  <c r="C113" i="11"/>
  <c r="A37" i="12" s="1"/>
  <c r="C114" i="11"/>
  <c r="A38" i="12" s="1"/>
  <c r="C123" i="11"/>
  <c r="A39" i="12" s="1"/>
  <c r="C124" i="11"/>
  <c r="A40" i="12" s="1"/>
  <c r="C334" i="11"/>
  <c r="A50" i="12" s="1"/>
  <c r="C333" i="11"/>
  <c r="A49" i="12" s="1"/>
  <c r="AO14" i="12"/>
  <c r="W14" i="12"/>
  <c r="H42" i="12"/>
  <c r="H41" i="12"/>
  <c r="H40" i="12"/>
  <c r="G42" i="12"/>
  <c r="G41" i="12"/>
  <c r="G40" i="12"/>
  <c r="B30" i="12"/>
  <c r="B29" i="12"/>
  <c r="C274" i="11"/>
  <c r="A30" i="12" s="1"/>
  <c r="C273" i="11"/>
  <c r="A29" i="12" s="1"/>
  <c r="AO13" i="12"/>
  <c r="W13" i="12"/>
  <c r="H39" i="12"/>
  <c r="H38" i="12"/>
  <c r="H37" i="12"/>
  <c r="G39" i="12"/>
  <c r="G38" i="12"/>
  <c r="G37" i="12"/>
  <c r="B28" i="12"/>
  <c r="B27" i="12"/>
  <c r="C264" i="11"/>
  <c r="A28" i="12" s="1"/>
  <c r="C263" i="11"/>
  <c r="A27" i="12" s="1"/>
  <c r="AO12" i="12"/>
  <c r="W12" i="12"/>
  <c r="H36" i="12"/>
  <c r="H35" i="12"/>
  <c r="H34" i="12"/>
  <c r="G36" i="12"/>
  <c r="G35" i="12"/>
  <c r="G34" i="12"/>
  <c r="B26" i="12"/>
  <c r="B25" i="12"/>
  <c r="C254" i="11"/>
  <c r="A26" i="12" s="1"/>
  <c r="C253" i="11"/>
  <c r="A25" i="12" s="1"/>
  <c r="AO21" i="12"/>
  <c r="W21" i="12"/>
  <c r="H63" i="12"/>
  <c r="H62" i="12"/>
  <c r="H61" i="12"/>
  <c r="G63" i="12"/>
  <c r="G62" i="12"/>
  <c r="G61" i="12"/>
  <c r="B44" i="12"/>
  <c r="B43" i="12"/>
  <c r="C314" i="11"/>
  <c r="A44" i="12" s="1"/>
  <c r="C313" i="11"/>
  <c r="A43" i="12" s="1"/>
  <c r="AO20" i="12"/>
  <c r="W20" i="12"/>
  <c r="H60" i="12"/>
  <c r="H59" i="12"/>
  <c r="H58" i="12"/>
  <c r="G60" i="12"/>
  <c r="G59" i="12"/>
  <c r="G58" i="12"/>
  <c r="B42" i="12"/>
  <c r="B41" i="12"/>
  <c r="C304" i="11"/>
  <c r="A42" i="12" s="1"/>
  <c r="C303" i="11"/>
  <c r="A41" i="12" s="1"/>
  <c r="AO5" i="12"/>
  <c r="W5" i="12"/>
  <c r="H15" i="12"/>
  <c r="H14" i="12"/>
  <c r="H13" i="12"/>
  <c r="G15" i="12"/>
  <c r="G14" i="12"/>
  <c r="G13" i="12"/>
  <c r="C144" i="11"/>
  <c r="B12" i="12" s="1"/>
  <c r="C143" i="11"/>
  <c r="A11" i="12" s="1"/>
  <c r="A12" i="12"/>
  <c r="AO22" i="12"/>
  <c r="W22" i="12"/>
  <c r="H66" i="12"/>
  <c r="H65" i="12"/>
  <c r="H64" i="12"/>
  <c r="G66" i="12"/>
  <c r="G65" i="12"/>
  <c r="G64" i="12"/>
  <c r="B46" i="12"/>
  <c r="B45" i="12"/>
  <c r="C324" i="11"/>
  <c r="A46" i="12" s="1"/>
  <c r="C323" i="11"/>
  <c r="A45" i="12" s="1"/>
  <c r="AO26" i="12"/>
  <c r="W26" i="12"/>
  <c r="H78" i="12"/>
  <c r="H77" i="12"/>
  <c r="H76" i="12"/>
  <c r="G78" i="12"/>
  <c r="G77" i="12"/>
  <c r="G76" i="12"/>
  <c r="B56" i="12"/>
  <c r="B55" i="12"/>
  <c r="C394" i="11"/>
  <c r="A56" i="12" s="1"/>
  <c r="C393" i="11"/>
  <c r="A55" i="12" s="1"/>
  <c r="AO27" i="12"/>
  <c r="W27" i="12"/>
  <c r="H81" i="12"/>
  <c r="H80" i="12"/>
  <c r="H79" i="12"/>
  <c r="G81" i="12"/>
  <c r="G80" i="12"/>
  <c r="G79" i="12"/>
  <c r="B58" i="12"/>
  <c r="B57" i="12"/>
  <c r="C404" i="11"/>
  <c r="A58" i="12" s="1"/>
  <c r="C403" i="11"/>
  <c r="A57" i="12" s="1"/>
  <c r="AO6" i="12"/>
  <c r="W6" i="12"/>
  <c r="H18" i="12"/>
  <c r="H17" i="12"/>
  <c r="H16" i="12"/>
  <c r="G18" i="12"/>
  <c r="G17" i="12"/>
  <c r="G16" i="12"/>
  <c r="B14" i="12"/>
  <c r="B13" i="12"/>
  <c r="C154" i="11"/>
  <c r="A14" i="12" s="1"/>
  <c r="C153" i="11"/>
  <c r="A13" i="12" s="1"/>
  <c r="AO16" i="12"/>
  <c r="W16" i="12"/>
  <c r="H48" i="12"/>
  <c r="H47" i="12"/>
  <c r="H46" i="12"/>
  <c r="G48" i="12"/>
  <c r="G47" i="12"/>
  <c r="G46" i="12"/>
  <c r="B34" i="12"/>
  <c r="B33" i="12"/>
  <c r="C294" i="11"/>
  <c r="A34" i="12" s="1"/>
  <c r="C293" i="11"/>
  <c r="A33" i="12" s="1"/>
  <c r="AO15" i="12"/>
  <c r="W15" i="12"/>
  <c r="H45" i="12"/>
  <c r="H44" i="12"/>
  <c r="H43" i="12"/>
  <c r="G45" i="12"/>
  <c r="G44" i="12"/>
  <c r="G43" i="12"/>
  <c r="B32" i="12"/>
  <c r="B31" i="12"/>
  <c r="C284" i="11"/>
  <c r="A32" i="12" s="1"/>
  <c r="C283" i="11"/>
  <c r="A31" i="12" s="1"/>
  <c r="AO29" i="12"/>
  <c r="W29" i="12"/>
  <c r="H87" i="12"/>
  <c r="H86" i="12"/>
  <c r="H85" i="12"/>
  <c r="G87" i="12"/>
  <c r="G86" i="12"/>
  <c r="G85" i="12"/>
  <c r="AO2" i="12"/>
  <c r="W2" i="12"/>
  <c r="H6" i="12"/>
  <c r="H5" i="12"/>
  <c r="H4" i="12"/>
  <c r="G6" i="12"/>
  <c r="G5" i="12"/>
  <c r="G4" i="12"/>
  <c r="B4" i="12"/>
  <c r="B3" i="12"/>
  <c r="AO30" i="12"/>
  <c r="W30" i="12"/>
  <c r="H90" i="12"/>
  <c r="H89" i="12"/>
  <c r="H88" i="12"/>
  <c r="G90" i="12"/>
  <c r="G89" i="12"/>
  <c r="G88" i="12"/>
  <c r="B64" i="12"/>
  <c r="B63" i="12"/>
  <c r="AO28" i="12"/>
  <c r="W28" i="12"/>
  <c r="H84" i="12"/>
  <c r="H83" i="12"/>
  <c r="H82" i="12"/>
  <c r="G84" i="12"/>
  <c r="G83" i="12"/>
  <c r="G82" i="12"/>
  <c r="B60" i="12"/>
  <c r="B59" i="12"/>
  <c r="AO25" i="12"/>
  <c r="W25" i="12"/>
  <c r="S25" i="12"/>
  <c r="K26" i="12"/>
  <c r="H75" i="12"/>
  <c r="H74" i="12"/>
  <c r="H73" i="12"/>
  <c r="G75" i="12"/>
  <c r="G74" i="12"/>
  <c r="G73" i="12"/>
  <c r="B54" i="12"/>
  <c r="B53" i="12"/>
  <c r="AO24" i="12"/>
  <c r="W24" i="12"/>
  <c r="S24" i="12"/>
  <c r="K25" i="12"/>
  <c r="H72" i="12"/>
  <c r="H71" i="12"/>
  <c r="H70" i="12"/>
  <c r="G72" i="12"/>
  <c r="G71" i="12"/>
  <c r="G70" i="12"/>
  <c r="B52" i="12"/>
  <c r="B51" i="12"/>
  <c r="B48" i="12"/>
  <c r="B47" i="12"/>
  <c r="H33" i="12"/>
  <c r="G33" i="12"/>
  <c r="H32" i="12"/>
  <c r="G32" i="12"/>
  <c r="H31" i="12"/>
  <c r="G31" i="12"/>
  <c r="H30" i="12"/>
  <c r="G30" i="12"/>
  <c r="H29" i="12"/>
  <c r="G29" i="12"/>
  <c r="H28" i="12"/>
  <c r="G28" i="12"/>
  <c r="H27" i="12"/>
  <c r="G27" i="12"/>
  <c r="H26" i="12"/>
  <c r="G26" i="12"/>
  <c r="H25" i="12"/>
  <c r="G25" i="12"/>
  <c r="H24" i="12"/>
  <c r="G24" i="12"/>
  <c r="B24" i="12"/>
  <c r="H23" i="12"/>
  <c r="G23" i="12"/>
  <c r="B23" i="12"/>
  <c r="H22" i="12"/>
  <c r="G22" i="12"/>
  <c r="B22" i="12"/>
  <c r="H21" i="12"/>
  <c r="G21" i="12"/>
  <c r="B21" i="12"/>
  <c r="H20" i="12"/>
  <c r="G20" i="12"/>
  <c r="B20" i="12"/>
  <c r="H19" i="12"/>
  <c r="G19" i="12"/>
  <c r="B19" i="12"/>
  <c r="B18" i="12"/>
  <c r="B17" i="12"/>
  <c r="B16" i="12"/>
  <c r="B15" i="12"/>
  <c r="H12" i="12"/>
  <c r="G12" i="12"/>
  <c r="AO11" i="12"/>
  <c r="W11" i="12"/>
  <c r="S11" i="12"/>
  <c r="H11" i="12"/>
  <c r="G11" i="12"/>
  <c r="AO10" i="12"/>
  <c r="W10" i="12"/>
  <c r="S10" i="12"/>
  <c r="H10" i="12"/>
  <c r="G10" i="12"/>
  <c r="B10" i="12"/>
  <c r="AO9" i="12"/>
  <c r="W9" i="12"/>
  <c r="S9" i="12"/>
  <c r="B9" i="12"/>
  <c r="AO8" i="12"/>
  <c r="W8" i="12"/>
  <c r="S8" i="12"/>
  <c r="B8" i="12"/>
  <c r="AO7" i="12"/>
  <c r="W7" i="12"/>
  <c r="B7" i="12"/>
  <c r="AO4" i="12"/>
  <c r="W4" i="12"/>
  <c r="H3" i="12"/>
  <c r="G3" i="12"/>
  <c r="H2" i="12"/>
  <c r="G2" i="12"/>
  <c r="B2" i="12"/>
  <c r="AO1" i="12"/>
  <c r="W1" i="12"/>
  <c r="H1" i="12"/>
  <c r="G1" i="12"/>
  <c r="B1" i="12"/>
  <c r="C413" i="11"/>
  <c r="C384" i="11"/>
  <c r="A54" i="12"/>
  <c r="C383" i="11"/>
  <c r="A53" i="12"/>
  <c r="C374" i="11"/>
  <c r="A52" i="12"/>
  <c r="C373" i="11"/>
  <c r="A51" i="12"/>
  <c r="J365" i="11"/>
  <c r="I365" i="11"/>
  <c r="F365" i="11"/>
  <c r="G365" i="11"/>
  <c r="J364" i="11"/>
  <c r="I364" i="11"/>
  <c r="F364" i="11"/>
  <c r="G364" i="11"/>
  <c r="U355" i="11"/>
  <c r="T355" i="11"/>
  <c r="S355" i="11"/>
  <c r="R355" i="11"/>
  <c r="Q355" i="11"/>
  <c r="N355" i="11"/>
  <c r="O355" i="11" s="1"/>
  <c r="U354" i="11"/>
  <c r="T354" i="11"/>
  <c r="S354" i="11"/>
  <c r="R354" i="11"/>
  <c r="Q354" i="11"/>
  <c r="N354" i="11"/>
  <c r="O354" i="11"/>
  <c r="J345" i="11"/>
  <c r="I345" i="11"/>
  <c r="F345" i="11"/>
  <c r="G345" i="11"/>
  <c r="J344" i="11"/>
  <c r="I344" i="11"/>
  <c r="F344" i="11"/>
  <c r="G344" i="11"/>
  <c r="A47" i="12"/>
  <c r="C243" i="11"/>
  <c r="C234" i="11"/>
  <c r="A24" i="12"/>
  <c r="C233" i="11"/>
  <c r="A23" i="12" s="1"/>
  <c r="C224" i="11"/>
  <c r="A22" i="12"/>
  <c r="C223" i="11"/>
  <c r="A21" i="12" s="1"/>
  <c r="C213" i="11"/>
  <c r="C194" i="11"/>
  <c r="A20" i="12" s="1"/>
  <c r="C193" i="11"/>
  <c r="A19" i="12" s="1"/>
  <c r="J185" i="11"/>
  <c r="I185" i="11"/>
  <c r="F185" i="11"/>
  <c r="G185" i="11" s="1"/>
  <c r="J184" i="11"/>
  <c r="I184" i="11"/>
  <c r="F184" i="11"/>
  <c r="G184" i="11" s="1"/>
  <c r="C174" i="11"/>
  <c r="A18" i="12" s="1"/>
  <c r="C173" i="11"/>
  <c r="A17" i="12" s="1"/>
  <c r="C164" i="11"/>
  <c r="A16" i="12" s="1"/>
  <c r="C163" i="11"/>
  <c r="A15" i="12" s="1"/>
  <c r="A62" i="12"/>
  <c r="C134" i="11"/>
  <c r="A10" i="12" s="1"/>
  <c r="C133" i="11"/>
  <c r="A9" i="12"/>
  <c r="J105" i="11"/>
  <c r="I105" i="11"/>
  <c r="F105" i="11"/>
  <c r="G105" i="11"/>
  <c r="J104" i="11"/>
  <c r="I104" i="11"/>
  <c r="F104" i="11"/>
  <c r="G104" i="11"/>
  <c r="U95" i="11"/>
  <c r="T95" i="11"/>
  <c r="S95" i="11"/>
  <c r="R95" i="11"/>
  <c r="Q95" i="11"/>
  <c r="N95" i="11"/>
  <c r="O95" i="11" s="1"/>
  <c r="U94" i="11"/>
  <c r="T94" i="11"/>
  <c r="S94" i="11"/>
  <c r="R94" i="11"/>
  <c r="Q94" i="11"/>
  <c r="N94" i="11"/>
  <c r="O94" i="11"/>
  <c r="J85" i="11"/>
  <c r="I85" i="11"/>
  <c r="F85" i="11"/>
  <c r="G85" i="11"/>
  <c r="J84" i="11"/>
  <c r="I84" i="11"/>
  <c r="F84" i="11"/>
  <c r="G84" i="11"/>
  <c r="C74" i="11"/>
  <c r="A8" i="12" s="1"/>
  <c r="C73" i="11"/>
  <c r="A7" i="12"/>
  <c r="C64" i="11"/>
  <c r="A4" i="12" s="1"/>
  <c r="C63" i="11"/>
  <c r="A3" i="12"/>
  <c r="J35" i="11"/>
  <c r="I35" i="11"/>
  <c r="F35" i="11"/>
  <c r="G35" i="11"/>
  <c r="J34" i="11"/>
  <c r="I34" i="11"/>
  <c r="F34" i="11"/>
  <c r="G34" i="11"/>
  <c r="U25" i="11"/>
  <c r="T25" i="11"/>
  <c r="S25" i="11"/>
  <c r="R25" i="11"/>
  <c r="Q25" i="11"/>
  <c r="N25" i="11"/>
  <c r="O25" i="11" s="1"/>
  <c r="U24" i="11"/>
  <c r="T24" i="11"/>
  <c r="S24" i="11"/>
  <c r="R24" i="11"/>
  <c r="Q24" i="11"/>
  <c r="N24" i="11"/>
  <c r="O24" i="11" s="1"/>
  <c r="J15" i="11"/>
  <c r="I15" i="11"/>
  <c r="J14" i="11"/>
  <c r="I14" i="11"/>
  <c r="F14" i="11"/>
  <c r="G14" i="11"/>
  <c r="C4" i="11"/>
  <c r="A2" i="12" s="1"/>
  <c r="C3" i="11"/>
  <c r="A1" i="12"/>
  <c r="L46" i="17"/>
  <c r="D46" i="17"/>
  <c r="R26" i="17"/>
  <c r="K26" i="17"/>
  <c r="E26" i="17"/>
  <c r="N8" i="17"/>
  <c r="H8" i="17"/>
  <c r="D22" i="20"/>
  <c r="H9" i="20"/>
  <c r="B9" i="20"/>
  <c r="D90" i="19"/>
  <c r="D75" i="19"/>
  <c r="D61" i="19"/>
  <c r="D47" i="19"/>
  <c r="D90" i="16"/>
  <c r="D107" i="15"/>
  <c r="D91" i="15"/>
  <c r="D76" i="15"/>
  <c r="D62" i="15"/>
  <c r="C38" i="14"/>
  <c r="K39" i="14"/>
  <c r="K24" i="14"/>
  <c r="A64" i="12"/>
  <c r="A63" i="12"/>
  <c r="B62" i="12"/>
  <c r="A61" i="12"/>
  <c r="A59" i="12" l="1"/>
  <c r="B61" i="12"/>
  <c r="A48" i="12"/>
  <c r="A60" i="12"/>
  <c r="B1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Tamara</author>
  </authors>
  <commentList>
    <comment ref="C46" authorId="0" shapeId="0" xr:uid="{00000000-0006-0000-0000-000001000000}">
      <text>
        <r>
          <rPr>
            <b/>
            <sz val="8"/>
            <color indexed="81"/>
            <rFont val="Tahoma"/>
            <family val="2"/>
          </rPr>
          <t>Comment box:
This is what they look like and can be accessed by hovering your mouse over the top of them.
Please try by hovering your mouse on the adjacent red triangle as an example.</t>
        </r>
        <r>
          <rPr>
            <sz val="8"/>
            <color indexed="81"/>
            <rFont val="Tahoma"/>
            <family val="2"/>
          </rPr>
          <t xml:space="preserve">
</t>
        </r>
      </text>
    </comment>
    <comment ref="G46" authorId="0" shapeId="0" xr:uid="{00000000-0006-0000-0000-000002000000}">
      <text>
        <r>
          <rPr>
            <b/>
            <sz val="9"/>
            <color indexed="81"/>
            <rFont val="Tahoma"/>
            <family val="2"/>
          </rPr>
          <t>Comment box:
This is what they look like and how they will appear when you hover your mouse over the top of them</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Tamara</author>
    <author>GG</author>
  </authors>
  <commentList>
    <comment ref="F5" authorId="0" shapeId="0" xr:uid="{00000000-0006-0000-0300-000001000000}">
      <text>
        <r>
          <rPr>
            <b/>
            <sz val="9"/>
            <color indexed="81"/>
            <rFont val="Tahoma"/>
            <family val="2"/>
          </rPr>
          <t># FTE staff to process 100K script items
"dispensary resourcing level"
Findings:</t>
        </r>
        <r>
          <rPr>
            <sz val="9"/>
            <color indexed="81"/>
            <rFont val="Tahoma"/>
            <family val="2"/>
          </rPr>
          <t xml:space="preserve">
* 11.6 FTE (full time equivalent staff) are required to process standardised 100,000 prescription items.
</t>
        </r>
        <r>
          <rPr>
            <b/>
            <sz val="9"/>
            <color indexed="81"/>
            <rFont val="Tahoma"/>
            <family val="2"/>
          </rPr>
          <t>Interpretations:</t>
        </r>
        <r>
          <rPr>
            <sz val="9"/>
            <color indexed="81"/>
            <rFont val="Tahoma"/>
            <family val="2"/>
          </rPr>
          <t xml:space="preserve">
* This result is higher than the cohort average of 7.8, and in the upper quintile of the cohort range.
* This result suggests likely over-resourcing of the dispensary team.
</t>
        </r>
        <r>
          <rPr>
            <b/>
            <sz val="9"/>
            <color indexed="81"/>
            <rFont val="Tahoma"/>
            <family val="2"/>
          </rPr>
          <t xml:space="preserve">Recommendations:
</t>
        </r>
        <r>
          <rPr>
            <sz val="9"/>
            <color indexed="81"/>
            <rFont val="Tahoma"/>
            <family val="2"/>
          </rPr>
          <t>* Seek expert advice regarding the interpretation of over-resourcing.</t>
        </r>
      </text>
    </comment>
    <comment ref="N5" authorId="0" shapeId="0" xr:uid="{00000000-0006-0000-0300-000002000000}">
      <text>
        <r>
          <rPr>
            <b/>
            <sz val="9"/>
            <color indexed="81"/>
            <rFont val="Tahoma"/>
            <family val="2"/>
          </rPr>
          <t>% breakdown of staffing levels by role type
"dispensary resourcing mix"
Findings:</t>
        </r>
        <r>
          <rPr>
            <sz val="9"/>
            <color indexed="81"/>
            <rFont val="Tahoma"/>
            <family val="2"/>
          </rPr>
          <t xml:space="preserve">
* Current staffing level breakdown:
   - 26% are Pharmacists.
   - 25% are Technicians.
   - 35% are Other.
   - 14% are Intern/Students.
</t>
        </r>
        <r>
          <rPr>
            <b/>
            <sz val="9"/>
            <color indexed="81"/>
            <rFont val="Tahoma"/>
            <family val="2"/>
          </rPr>
          <t>Interpretations:</t>
        </r>
        <r>
          <rPr>
            <sz val="9"/>
            <color indexed="81"/>
            <rFont val="Tahoma"/>
            <family val="2"/>
          </rPr>
          <t xml:space="preserve">
*  At 26%, Pharmacists proportional representation in the miix is less than the cohort average (45%).
*  At 25%, Technicians proportional representation in the mix is more than the cohort average (22%).
 * At 35%, Others proportional representation in the mix is more than the cohort average (27%).
*  At 14%, Intern/Students proportional representation in the mix is more than the cohort average (6%).
</t>
        </r>
        <r>
          <rPr>
            <b/>
            <sz val="9"/>
            <color indexed="81"/>
            <rFont val="Tahoma"/>
            <family val="2"/>
          </rPr>
          <t>Recommendations:</t>
        </r>
        <r>
          <rPr>
            <sz val="9"/>
            <color indexed="81"/>
            <rFont val="Tahoma"/>
            <family val="2"/>
          </rPr>
          <t xml:space="preserve">
* Consider seeking expert advice to review the current staffing role types to increase proportion of Pharmacists in the mix.
* A higher proportion of Pharmacists will enable a consistent forward Pharmacist model with Pharmacists at the customer serving counters to improve the customer experience, gain local competitive advantage and capitalise on recommendations in this report.
* Pharmacist frontage at serving counters and OTC will enable maximum conversion of proactive counsel to proactive solution selling, resulting in opportunities for health category sales.
</t>
        </r>
      </text>
    </comment>
    <comment ref="J26" authorId="0" shapeId="0" xr:uid="{00000000-0006-0000-0300-000003000000}">
      <text>
        <r>
          <rPr>
            <b/>
            <sz val="9"/>
            <color indexed="81"/>
            <rFont val="Tahoma"/>
            <family val="2"/>
          </rPr>
          <t>Team tasking by proportional representation - script customers
Findings:</t>
        </r>
        <r>
          <rPr>
            <sz val="9"/>
            <color indexed="81"/>
            <rFont val="Tahoma"/>
            <family val="2"/>
          </rPr>
          <t xml:space="preserve">
* Pharmacists are featuring in ... 
-  script-in 23% of occasions;
-  script processing 40%;
-  script-out 28%.
</t>
        </r>
        <r>
          <rPr>
            <b/>
            <sz val="9"/>
            <color indexed="81"/>
            <rFont val="Tahoma"/>
            <family val="2"/>
          </rPr>
          <t>Interpretations:</t>
        </r>
        <r>
          <rPr>
            <sz val="9"/>
            <color indexed="81"/>
            <rFont val="Tahoma"/>
            <family val="2"/>
          </rPr>
          <t xml:space="preserve">
* At 23%, Pharmacists execute script-in processing less often than the cohort average (37%).
* At 40%, Pharmacists execute script processing less often than the cohort average (56%).
* At 28%, Pharmacists execute script-out processing less often than the cohort average (64%).
*  0% of scripts processed were directly dispensed.
</t>
        </r>
        <r>
          <rPr>
            <b/>
            <sz val="9"/>
            <color indexed="81"/>
            <rFont val="Tahoma"/>
            <family val="2"/>
          </rPr>
          <t>Recommendations:</t>
        </r>
        <r>
          <rPr>
            <sz val="9"/>
            <color indexed="81"/>
            <rFont val="Tahoma"/>
            <family val="2"/>
          </rPr>
          <t xml:space="preserve">
* Move towards "best practice", which features as much pharmacist resource as possible stationed/rostered at the key customer counselling locations (script out, OTC, in the mid-store, +/- script in), for as much time is possible.
* High performance here creates opportunity to convert to high customer health sales effectiveness and customer retention performance.
</t>
        </r>
      </text>
    </comment>
    <comment ref="J59" authorId="0" shapeId="0" xr:uid="{00000000-0006-0000-0300-000004000000}">
      <text>
        <r>
          <rPr>
            <b/>
            <sz val="9"/>
            <color indexed="81"/>
            <rFont val="Tahoma"/>
            <family val="2"/>
          </rPr>
          <t>Team tasking by proportional representation - OTC customers
Findings:</t>
        </r>
        <r>
          <rPr>
            <sz val="9"/>
            <color indexed="81"/>
            <rFont val="Tahoma"/>
            <family val="2"/>
          </rPr>
          <t xml:space="preserve">
* 32% of OTC customer consults are undertaken by Pharmacists. 
* Pharmacists/pre-reg are involved in 68% of OTC customer visits.
</t>
        </r>
        <r>
          <rPr>
            <b/>
            <sz val="9"/>
            <color indexed="81"/>
            <rFont val="Tahoma"/>
            <family val="2"/>
          </rPr>
          <t>Interpretations:</t>
        </r>
        <r>
          <rPr>
            <sz val="9"/>
            <color indexed="81"/>
            <rFont val="Tahoma"/>
            <family val="2"/>
          </rPr>
          <t xml:space="preserve">
* There is a lower reliance on Pharmacists for OTC customer service, when compared to the cohort average (32% vs 47%).
* There are 68% visits where a pharmacist/pre-reg is involved at least once.
</t>
        </r>
        <r>
          <rPr>
            <b/>
            <sz val="9"/>
            <color indexed="81"/>
            <rFont val="Tahoma"/>
            <family val="2"/>
          </rPr>
          <t>Recommendations:</t>
        </r>
        <r>
          <rPr>
            <sz val="9"/>
            <color indexed="81"/>
            <rFont val="Tahoma"/>
            <family val="2"/>
          </rPr>
          <t xml:space="preserve">
* Increase the representation of Pharmacists at OTC.
* High performance in Pharmacist frontage at OTC creates opportunity to convert to high customer health sales effectiveness and customer retention performance.    
</t>
        </r>
      </text>
    </comment>
    <comment ref="J76" authorId="1" shapeId="0" xr:uid="{00000000-0006-0000-0300-000005000000}">
      <text>
        <r>
          <rPr>
            <b/>
            <sz val="9"/>
            <color indexed="81"/>
            <rFont val="Tahoma"/>
            <family val="2"/>
          </rPr>
          <t xml:space="preserve">Pharmacist % forward orientation score
Findings:
* </t>
        </r>
        <r>
          <rPr>
            <sz val="9"/>
            <color indexed="81"/>
            <rFont val="Tahoma"/>
            <family val="2"/>
          </rPr>
          <t xml:space="preserve">This score is a combined calculation that directly relates to the proportion of pharmacist representation serving customers at OTC, script in and script out. It also inversely relates to the proportion of pharmacist representation executing the bulk of script processing.
* The overall pharmacist forward orientation score is 36%.
</t>
        </r>
        <r>
          <rPr>
            <b/>
            <sz val="9"/>
            <color indexed="81"/>
            <rFont val="Tahoma"/>
            <family val="2"/>
          </rPr>
          <t>Interpretations:</t>
        </r>
        <r>
          <rPr>
            <sz val="9"/>
            <color indexed="81"/>
            <rFont val="Tahoma"/>
            <family val="2"/>
          </rPr>
          <t xml:space="preserve">
* This result is lower than the cohort average score of 49% and in the middle three quintiles of cohort range.
* This result is in alignment with the below cohort average pharmacist representation at the customer serving counters (OTC, script in, script out) and at odds with the below cohort average pharmacist representation at the processing bench.
</t>
        </r>
        <r>
          <rPr>
            <b/>
            <sz val="9"/>
            <color indexed="81"/>
            <rFont val="Tahoma"/>
            <family val="2"/>
          </rPr>
          <t>Recommendations</t>
        </r>
        <r>
          <rPr>
            <sz val="9"/>
            <color indexed="81"/>
            <rFont val="Tahoma"/>
            <family val="2"/>
          </rPr>
          <t xml:space="preserve">:
* Increase the forward orientation of the pharmacist beyond the cohort average to at least 66%, which is the upper quintile boundary of cohort range and represents "best practice".
* Improved performance in forward orientation leads to more opportunity for correctly executed proactive counsel and proactive solution selling, which will in turn provide for more opportunity to increase staff-driven sales conversions.
</t>
        </r>
      </text>
    </comment>
    <comment ref="J91" authorId="0" shapeId="0" xr:uid="{00000000-0006-0000-0300-000006000000}">
      <text>
        <r>
          <rPr>
            <b/>
            <sz val="9"/>
            <color indexed="81"/>
            <rFont val="Tahoma"/>
            <family val="2"/>
          </rPr>
          <t>Team tasking by proportional representation - Health category aisle customer
Findings:</t>
        </r>
        <r>
          <rPr>
            <sz val="9"/>
            <color indexed="81"/>
            <rFont val="Tahoma"/>
            <family val="2"/>
          </rPr>
          <t xml:space="preserve">
* 37% of Health category aisle customer consults are undertaken by Pharmacists. 
</t>
        </r>
        <r>
          <rPr>
            <b/>
            <sz val="9"/>
            <color indexed="81"/>
            <rFont val="Tahoma"/>
            <family val="2"/>
          </rPr>
          <t>Interpretations:</t>
        </r>
        <r>
          <rPr>
            <sz val="9"/>
            <color indexed="81"/>
            <rFont val="Tahoma"/>
            <family val="2"/>
          </rPr>
          <t xml:space="preserve">
* There is a lower reliance on Pharmacists for Health category aisle customer service, when compared to the cohort average (37% vs 44%).
</t>
        </r>
        <r>
          <rPr>
            <b/>
            <sz val="9"/>
            <color indexed="81"/>
            <rFont val="Tahoma"/>
            <family val="2"/>
          </rPr>
          <t>Recommendations:</t>
        </r>
        <r>
          <rPr>
            <sz val="9"/>
            <color indexed="81"/>
            <rFont val="Tahoma"/>
            <family val="2"/>
          </rPr>
          <t xml:space="preserve">
* Increase the representation of Pharmacists in Health Aisles to implement the Health category aisle customer service recommendations made thus far.
* High performance in Pharmacist frontage within Health category aisles creates opportunity to convert to high customer health sales effectiveness and customer retention performance.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Tamara</author>
  </authors>
  <commentList>
    <comment ref="G5" authorId="0" shapeId="0" xr:uid="{00000000-0006-0000-0400-000001000000}">
      <text>
        <r>
          <rPr>
            <b/>
            <sz val="9"/>
            <color indexed="81"/>
            <rFont val="Tahoma"/>
            <family val="2"/>
          </rPr>
          <t>Average processing duration per script item 
"Script processing efficiency"
Findings:</t>
        </r>
        <r>
          <rPr>
            <sz val="9"/>
            <color indexed="81"/>
            <rFont val="Tahoma"/>
            <family val="2"/>
          </rPr>
          <t xml:space="preserve">
* The average time taken to process a script item is 2m 58s.
</t>
        </r>
        <r>
          <rPr>
            <b/>
            <sz val="9"/>
            <color indexed="81"/>
            <rFont val="Tahoma"/>
            <family val="2"/>
          </rPr>
          <t xml:space="preserve">Interpretations:
</t>
        </r>
        <r>
          <rPr>
            <sz val="9"/>
            <color indexed="81"/>
            <rFont val="Tahoma"/>
            <family val="2"/>
          </rPr>
          <t xml:space="preserve">* This result is shorter than the cohort average of 4m 4s per script item, and in the middle three quintiles of cohort range.  
</t>
        </r>
        <r>
          <rPr>
            <b/>
            <sz val="9"/>
            <color indexed="81"/>
            <rFont val="Tahoma"/>
            <family val="2"/>
          </rPr>
          <t>Recommendations:</t>
        </r>
        <r>
          <rPr>
            <sz val="9"/>
            <color indexed="81"/>
            <rFont val="Tahoma"/>
            <family val="2"/>
          </rPr>
          <t xml:space="preserve">
* Review black and white space mix against cohort average.
</t>
        </r>
      </text>
    </comment>
    <comment ref="G21" authorId="0" shapeId="0" xr:uid="{00000000-0006-0000-0400-000002000000}">
      <text>
        <r>
          <rPr>
            <b/>
            <sz val="9"/>
            <color indexed="81"/>
            <rFont val="Tahoma"/>
            <family val="2"/>
          </rPr>
          <t>Script processing efficiency split
Findings:</t>
        </r>
        <r>
          <rPr>
            <sz val="9"/>
            <color indexed="81"/>
            <rFont val="Tahoma"/>
            <family val="2"/>
          </rPr>
          <t xml:space="preserve">
* The average time taken to process a script item is 2m 59s, of which the script is being actively worked 2m 32s (85%) of the time and left sitting idle 27s (15%) of the time.
</t>
        </r>
        <r>
          <rPr>
            <b/>
            <sz val="9"/>
            <color indexed="81"/>
            <rFont val="Tahoma"/>
            <family val="2"/>
          </rPr>
          <t xml:space="preserve">Interpretations:
</t>
        </r>
        <r>
          <rPr>
            <sz val="9"/>
            <color indexed="81"/>
            <rFont val="Tahoma"/>
            <family val="2"/>
          </rPr>
          <t xml:space="preserve">* When taking pure black space time alone as the focus, this handling time spent per script item is longer than the cohort average 1m 56s (48%).  
* When taking pure white space time alone as the focus, this non- handling time spent per script item is shorter than the cohort average 2m 8s (52%).
</t>
        </r>
        <r>
          <rPr>
            <b/>
            <sz val="9"/>
            <color indexed="81"/>
            <rFont val="Tahoma"/>
            <family val="2"/>
          </rPr>
          <t>Recommendations:</t>
        </r>
        <r>
          <rPr>
            <sz val="9"/>
            <color indexed="81"/>
            <rFont val="Tahoma"/>
            <family val="2"/>
          </rPr>
          <t xml:space="preserve">
* Compare black space time to cohort average and review the speed: risk management balance accordingly.
* Maintain white space idle time below the cohort average.
* High performance here creates opportunity for high year-on-year customer retention performance and indirectly, higher customer engagement.
</t>
        </r>
      </text>
    </comment>
    <comment ref="O21" authorId="0" shapeId="0" xr:uid="{00000000-0006-0000-0400-000003000000}">
      <text>
        <r>
          <rPr>
            <b/>
            <sz val="9"/>
            <color indexed="81"/>
            <rFont val="Tahoma"/>
            <family val="2"/>
          </rPr>
          <t># script items per man-hour worked by the dispensary team
"script production efficiency"
Findings:</t>
        </r>
        <r>
          <rPr>
            <sz val="9"/>
            <color indexed="81"/>
            <rFont val="Tahoma"/>
            <family val="2"/>
          </rPr>
          <t xml:space="preserve">
* 4.4 prescription items are produced per man-hour worked.
</t>
        </r>
        <r>
          <rPr>
            <b/>
            <sz val="9"/>
            <color indexed="81"/>
            <rFont val="Tahoma"/>
            <family val="2"/>
          </rPr>
          <t>Interpretations:</t>
        </r>
        <r>
          <rPr>
            <sz val="9"/>
            <color indexed="81"/>
            <rFont val="Tahoma"/>
            <family val="2"/>
          </rPr>
          <t xml:space="preserve">
* This result is lower than the cohort average of 7.1, and in the lower quintile of cohort range.
* This result is in line with the dispensary resourcing level result, and the interpretations regarding staff resource levels.
</t>
        </r>
        <r>
          <rPr>
            <b/>
            <sz val="9"/>
            <color indexed="81"/>
            <rFont val="Tahoma"/>
            <family val="2"/>
          </rPr>
          <t>Recommendations:</t>
        </r>
        <r>
          <rPr>
            <sz val="9"/>
            <color indexed="81"/>
            <rFont val="Tahoma"/>
            <family val="2"/>
          </rPr>
          <t xml:space="preserve">
* Seek expert advice regarding the interpretation of over-resourcing.
</t>
        </r>
      </text>
    </comment>
    <comment ref="G35" authorId="0" shapeId="0" xr:uid="{00000000-0006-0000-0400-000004000000}">
      <text>
        <r>
          <rPr>
            <b/>
            <sz val="9"/>
            <color indexed="81"/>
            <rFont val="Tahoma"/>
            <family val="2"/>
          </rPr>
          <t>Script re-handling ratio per customer
Findings:</t>
        </r>
        <r>
          <rPr>
            <sz val="9"/>
            <color indexed="81"/>
            <rFont val="Tahoma"/>
            <family val="2"/>
          </rPr>
          <t xml:space="preserve">
* On average there are 1.0 script processing re-handles per customer lifecycle.
</t>
        </r>
        <r>
          <rPr>
            <b/>
            <sz val="9"/>
            <color indexed="81"/>
            <rFont val="Tahoma"/>
            <family val="2"/>
          </rPr>
          <t>Interpretations:</t>
        </r>
        <r>
          <rPr>
            <sz val="9"/>
            <color indexed="81"/>
            <rFont val="Tahoma"/>
            <family val="2"/>
          </rPr>
          <t xml:space="preserve">
* This result is lower than the cohort average (1.2 rehandles per script customer), and in the middle three quintiles of cohort range.
* This result is in alignment with the below cohort average white space time result.
</t>
        </r>
        <r>
          <rPr>
            <b/>
            <sz val="9"/>
            <color indexed="81"/>
            <rFont val="Tahoma"/>
            <family val="2"/>
          </rPr>
          <t xml:space="preserve">Recommendations:
</t>
        </r>
        <r>
          <rPr>
            <sz val="9"/>
            <color indexed="81"/>
            <rFont val="Tahoma"/>
            <family val="2"/>
          </rPr>
          <t xml:space="preserve">* Reduce the number of re-handles occurring during script processing to less than 0.8, which is the lower quintile boundary of cohort range and represents "best practice". 
* Improved performance creates opportunity for high year-on-year customer retention performance and indirectly, higher customer engagement.
</t>
        </r>
      </text>
    </comment>
    <comment ref="O35" authorId="0" shapeId="0" xr:uid="{00000000-0006-0000-0400-000005000000}">
      <text>
        <r>
          <rPr>
            <b/>
            <sz val="9"/>
            <color indexed="81"/>
            <rFont val="Tahoma"/>
            <family val="2"/>
          </rPr>
          <t>Labour cost per script item 
"script production cost effectiveness"
Findings:</t>
        </r>
        <r>
          <rPr>
            <sz val="9"/>
            <color indexed="81"/>
            <rFont val="Tahoma"/>
            <family val="2"/>
          </rPr>
          <t xml:space="preserve">
* $6.98 in labour cost is required to generate each script item.
</t>
        </r>
        <r>
          <rPr>
            <b/>
            <sz val="9"/>
            <color indexed="81"/>
            <rFont val="Tahoma"/>
            <family val="2"/>
          </rPr>
          <t>Interpretations:</t>
        </r>
        <r>
          <rPr>
            <sz val="9"/>
            <color indexed="81"/>
            <rFont val="Tahoma"/>
            <family val="2"/>
          </rPr>
          <t xml:space="preserve">
* This result is higher than with the cohort average of $5.11, and in the upper quintile of cohort range.
* This result aligns with the results regarding staff resource levels.
* This would imply that the lower proportion of expensive Pharmacist resource in the mix is more than offset by the above cohort average resourcing level, directly impacting script production cost effectiveness.
</t>
        </r>
        <r>
          <rPr>
            <b/>
            <sz val="9"/>
            <color indexed="81"/>
            <rFont val="Tahoma"/>
            <family val="2"/>
          </rPr>
          <t>Recommendations:</t>
        </r>
        <r>
          <rPr>
            <sz val="9"/>
            <color indexed="81"/>
            <rFont val="Tahoma"/>
            <family val="2"/>
          </rPr>
          <t xml:space="preserve">
* Review the degree to which this result exceeds the cohort average, and review this against strategies of balance between cost and capacity to provide better customer service and optimise health sales.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GG</author>
    <author>Tamara</author>
    <author>Jenny Blair</author>
  </authors>
  <commentList>
    <comment ref="H4" authorId="0" shapeId="0" xr:uid="{00000000-0006-0000-0500-000001000000}">
      <text>
        <r>
          <rPr>
            <b/>
            <sz val="9"/>
            <color indexed="81"/>
            <rFont val="Tahoma"/>
            <family val="2"/>
          </rPr>
          <t>Script customer visit retention
Findings:</t>
        </r>
        <r>
          <rPr>
            <sz val="9"/>
            <color indexed="81"/>
            <rFont val="Tahoma"/>
            <family val="2"/>
          </rPr>
          <t xml:space="preserve">
* 78% of script customers stay in the dispensary for the entirety of script processing.
</t>
        </r>
        <r>
          <rPr>
            <b/>
            <sz val="9"/>
            <color indexed="81"/>
            <rFont val="Tahoma"/>
            <family val="2"/>
          </rPr>
          <t>Interpretations:</t>
        </r>
        <r>
          <rPr>
            <sz val="9"/>
            <color indexed="81"/>
            <rFont val="Tahoma"/>
            <family val="2"/>
          </rPr>
          <t xml:space="preserve">
* This result is higher than the cohort average of 51%, and in the upper quintile of cohort range.
* Of the customers who do not stay in the dispensary, 14% browse for at least 30 sec in the pharmacy before departing.
</t>
        </r>
        <r>
          <rPr>
            <b/>
            <sz val="9"/>
            <color indexed="81"/>
            <rFont val="Tahoma"/>
            <family val="2"/>
          </rPr>
          <t>Recommendations:</t>
        </r>
        <r>
          <rPr>
            <sz val="9"/>
            <color indexed="81"/>
            <rFont val="Tahoma"/>
            <family val="2"/>
          </rPr>
          <t xml:space="preserve">
* Maintain visit retention rate of at least 72%, which is the upper quintile boundary of cohort range and represents “best practice”. 
* Achieve this by maintaining the compelling value proposition to attract customers to stay in the store (1 visit: 1 dispense).
* Continue to broadcast the benefits, service standards and educate customers accordingly. 
* High performance in this area creates opportunity for high script customer engagement.
</t>
        </r>
      </text>
    </comment>
    <comment ref="I19" authorId="1" shapeId="0" xr:uid="{00000000-0006-0000-0500-000002000000}">
      <text>
        <r>
          <rPr>
            <b/>
            <sz val="9"/>
            <color indexed="81"/>
            <rFont val="Tahoma"/>
            <family val="2"/>
          </rPr>
          <t>Script customer visit and engagement duration
Findings:</t>
        </r>
        <r>
          <rPr>
            <sz val="9"/>
            <color indexed="81"/>
            <rFont val="Tahoma"/>
            <family val="2"/>
          </rPr>
          <t xml:space="preserve">
* The script customer spends 6m 0s, on average, at the dispensary per lifecycle, whether they stay or go and return. 
* 2m 12s (37%) of the customer time at the dispensary is spent engaged with a staff member.
* The other 3m 48s (63%) of time is spent disengaged from any team members.
</t>
        </r>
        <r>
          <rPr>
            <b/>
            <sz val="9"/>
            <color indexed="81"/>
            <rFont val="Tahoma"/>
            <family val="2"/>
          </rPr>
          <t>Interpretations:</t>
        </r>
        <r>
          <rPr>
            <sz val="9"/>
            <color indexed="81"/>
            <rFont val="Tahoma"/>
            <family val="2"/>
          </rPr>
          <t xml:space="preserve">
* The 6m 0s dispensary visit time is longer than the cohort average (4m 55s).
* Customer engagement time of 2m 12s is on par with the cohort average (2m 14s), with the % engagement being lower than the cohort average (37% vs 45%).
* Customers spend more time disengaged (3m 49s) than the cohort average (2m 41s), with the % disengagement also being higher than the cohort average (63% vs 55%).
</t>
        </r>
        <r>
          <rPr>
            <b/>
            <sz val="9"/>
            <color indexed="81"/>
            <rFont val="Tahoma"/>
            <family val="2"/>
          </rPr>
          <t>Recommendations:</t>
        </r>
        <r>
          <rPr>
            <sz val="9"/>
            <color indexed="81"/>
            <rFont val="Tahoma"/>
            <family val="2"/>
          </rPr>
          <t xml:space="preserve">
* Increase engaged time above the cohort average, as increasing engagement creates the opportunity to increase proactive counsel and proactive solution selling. 
* Decrease disengaged time below the cohort average.
* Improved engagement/low disengagement time creates opportunity for high proactive counsel and proactive solution selling time.
</t>
        </r>
      </text>
    </comment>
    <comment ref="I32" authorId="1" shapeId="0" xr:uid="{00000000-0006-0000-0500-000003000000}">
      <text>
        <r>
          <rPr>
            <b/>
            <sz val="9"/>
            <color indexed="81"/>
            <rFont val="Tahoma"/>
            <family val="2"/>
          </rPr>
          <t>Script customer engagement effectiveness
Findings:</t>
        </r>
        <r>
          <rPr>
            <sz val="9"/>
            <color indexed="81"/>
            <rFont val="Tahoma"/>
            <family val="2"/>
          </rPr>
          <t xml:space="preserve">
* Of the time engaged with the script customer:
   - 7s (5%) is spent in proactive solution selling.
   - 1s (1%) is spent in proactive health counsel.
   - 24s (18%) is spent in proactive medicines counsel.
   - 9s (7%) is spent in responsive counsel.
   - 1m 31s (69%) is spent in value neutral engagement.
</t>
        </r>
        <r>
          <rPr>
            <b/>
            <sz val="9"/>
            <color indexed="81"/>
            <rFont val="Tahoma"/>
            <family val="2"/>
          </rPr>
          <t>Interpretations:</t>
        </r>
        <r>
          <rPr>
            <sz val="9"/>
            <color indexed="81"/>
            <rFont val="Tahoma"/>
            <family val="2"/>
          </rPr>
          <t xml:space="preserve">
* Proactive solution selling time comprises 7s (5%) of engaged time, which is longer than the cohort average 4s (3%).
* Proactive health counsel time is shorter than the cohort average 1s vs 8s (1% vs 6%).
* Proactive medicines counsel time is on par with the cohort average 24s vs 24s (18% vs 18%).
* Responsive counsel time is shorter than the cohort average 9s vs 12s (7% vs 9%).
</t>
        </r>
        <r>
          <rPr>
            <b/>
            <sz val="9"/>
            <color indexed="81"/>
            <rFont val="Tahoma"/>
            <family val="2"/>
          </rPr>
          <t>Recommendations:</t>
        </r>
        <r>
          <rPr>
            <sz val="9"/>
            <color indexed="81"/>
            <rFont val="Tahoma"/>
            <family val="2"/>
          </rPr>
          <t xml:space="preserve">
* Maintain proactive solution selling time above the cohort average.
* In tandem with ensuring high engagement/low disengagement, also focus on increasing proactive health &amp; medicines counsel time above the cohort averages.
* Increased proactive medicines counsel time creates opportunity for high customer compliance.
* Increased proactive health counsel and proactive solution selling time are a valuable extension of proactive medicines counsel and when used appropriately together, create opportunities to give the customer a more complete solution and the pharmacy more add-on sales.
</t>
        </r>
      </text>
    </comment>
    <comment ref="I46" authorId="0" shapeId="0" xr:uid="{00000000-0006-0000-0500-000004000000}">
      <text>
        <r>
          <rPr>
            <b/>
            <sz val="9"/>
            <color indexed="81"/>
            <rFont val="Tahoma"/>
            <family val="2"/>
          </rPr>
          <t xml:space="preserve">Script customer disengagement split
Findings:
</t>
        </r>
        <r>
          <rPr>
            <sz val="9"/>
            <color indexed="81"/>
            <rFont val="Tahoma"/>
            <family val="2"/>
          </rPr>
          <t>* Of the time disengaged from the script customer:
   - 10s (4%) is spent queuing.
   - 3m 39s (96%) is spent waiting.</t>
        </r>
        <r>
          <rPr>
            <b/>
            <sz val="9"/>
            <color indexed="81"/>
            <rFont val="Tahoma"/>
            <family val="2"/>
          </rPr>
          <t xml:space="preserve">
Interpretations:
</t>
        </r>
        <r>
          <rPr>
            <sz val="9"/>
            <color indexed="81"/>
            <rFont val="Tahoma"/>
            <family val="2"/>
          </rPr>
          <t>* Queuing time is shorter than the cohort average of 13s (8%), which supports the interpretation of over-resourcing.
* Waiting time is longer than the cohort average of 2m 27s (92%).</t>
        </r>
        <r>
          <rPr>
            <b/>
            <sz val="9"/>
            <color indexed="81"/>
            <rFont val="Tahoma"/>
            <family val="2"/>
          </rPr>
          <t xml:space="preserve">
Recommendations:
</t>
        </r>
        <r>
          <rPr>
            <sz val="9"/>
            <color indexed="81"/>
            <rFont val="Tahoma"/>
            <family val="2"/>
          </rPr>
          <t xml:space="preserve">* Reduce queuing time to clearly below the cohort average.
* Reduce waiting time clearly below the cohort average by increasing engagement throughout the customer visit.
* High performance in these times creates opportunity for high performance in year-on-year customer retention.
</t>
        </r>
      </text>
    </comment>
    <comment ref="I61" authorId="2" shapeId="0" xr:uid="{00000000-0006-0000-0500-000005000000}">
      <text>
        <r>
          <rPr>
            <b/>
            <sz val="9"/>
            <color indexed="81"/>
            <rFont val="Tahoma"/>
            <family val="2"/>
          </rPr>
          <t>Script customer proactive medicines counsel duration
Findings:</t>
        </r>
        <r>
          <rPr>
            <sz val="9"/>
            <color indexed="81"/>
            <rFont val="Tahoma"/>
            <family val="2"/>
          </rPr>
          <t xml:space="preserve">
* Script customers, on average, receive 24s of proactive medicines counsel per visit.  
</t>
        </r>
        <r>
          <rPr>
            <b/>
            <sz val="9"/>
            <color indexed="81"/>
            <rFont val="Tahoma"/>
            <family val="2"/>
          </rPr>
          <t xml:space="preserve">
Interpretations:</t>
        </r>
        <r>
          <rPr>
            <sz val="9"/>
            <color indexed="81"/>
            <rFont val="Tahoma"/>
            <family val="2"/>
          </rPr>
          <t xml:space="preserve">
* This result is on par with the cohort average (24s), and in the middle three quintiles of the cohort range.
</t>
        </r>
        <r>
          <rPr>
            <b/>
            <sz val="9"/>
            <color indexed="81"/>
            <rFont val="Tahoma"/>
            <family val="2"/>
          </rPr>
          <t>Recommendations:</t>
        </r>
        <r>
          <rPr>
            <sz val="9"/>
            <color indexed="81"/>
            <rFont val="Tahoma"/>
            <family val="2"/>
          </rPr>
          <t xml:space="preserve">
* Increase proactive medicines counsel time beyond the cohort average (24s) to at least 33s, which is the upper quintile boundary of cohort range and represents "best practice".   
* Increased proactive medicines counsel time creates opportunity for high customer compliance and avoids the potential for customers to make assumptions regarding their medicines.</t>
        </r>
      </text>
    </comment>
    <comment ref="I75" authorId="2" shapeId="0" xr:uid="{00000000-0006-0000-0500-000006000000}">
      <text>
        <r>
          <rPr>
            <b/>
            <sz val="9"/>
            <color indexed="81"/>
            <rFont val="Tahoma"/>
            <family val="2"/>
          </rPr>
          <t>Script customer proactive health counsel PLUS proactive solution selling duration
Findings:</t>
        </r>
        <r>
          <rPr>
            <sz val="9"/>
            <color indexed="81"/>
            <rFont val="Tahoma"/>
            <family val="2"/>
          </rPr>
          <t xml:space="preserve">
* On average, each script customer receives 8s of combined proactive health solution PLUS proactive solution selling duration.
</t>
        </r>
        <r>
          <rPr>
            <b/>
            <sz val="9"/>
            <color indexed="81"/>
            <rFont val="Tahoma"/>
            <family val="2"/>
          </rPr>
          <t>Interpretations:</t>
        </r>
        <r>
          <rPr>
            <sz val="9"/>
            <color indexed="81"/>
            <rFont val="Tahoma"/>
            <family val="2"/>
          </rPr>
          <t xml:space="preserve">
* This result is shorter than the cohort average (11s), and in the middle three quintiles of the cohort range.
</t>
        </r>
        <r>
          <rPr>
            <b/>
            <sz val="9"/>
            <color indexed="81"/>
            <rFont val="Tahoma"/>
            <family val="2"/>
          </rPr>
          <t xml:space="preserve">
Recommendations:</t>
        </r>
        <r>
          <rPr>
            <sz val="9"/>
            <color indexed="81"/>
            <rFont val="Tahoma"/>
            <family val="2"/>
          </rPr>
          <t xml:space="preserve">
* Increase combined proactive counsel and proactive solution selling time to at least 18s, which is the upper quintile boundary of cohort range, and represents "best practice".  
* Increased proactive solution selling time, where appropriate, is a valuable extension of proactive health and medicines counsel in terms of both customer service &amp; profitability.
</t>
        </r>
      </text>
    </comment>
    <comment ref="I89" authorId="1" shapeId="0" xr:uid="{00000000-0006-0000-0500-000007000000}">
      <text>
        <r>
          <rPr>
            <b/>
            <sz val="9"/>
            <color indexed="81"/>
            <rFont val="Tahoma"/>
            <family val="2"/>
          </rPr>
          <t>Script customer proactive medicines counsel frequency
Findings:</t>
        </r>
        <r>
          <rPr>
            <sz val="9"/>
            <color indexed="81"/>
            <rFont val="Tahoma"/>
            <family val="2"/>
          </rPr>
          <t xml:space="preserve">
* 44% of script customers are engaged in a proactive medicines counsel.  
</t>
        </r>
        <r>
          <rPr>
            <b/>
            <sz val="9"/>
            <color indexed="81"/>
            <rFont val="Tahoma"/>
            <family val="2"/>
          </rPr>
          <t>Interpretations:</t>
        </r>
        <r>
          <rPr>
            <sz val="9"/>
            <color indexed="81"/>
            <rFont val="Tahoma"/>
            <family val="2"/>
          </rPr>
          <t xml:space="preserve">
* This result is lower than the cohort average of 49%, and in the middle three quintiles of cohort range.
* This result is at odds with the on par with cohort average proactive medicines counsel time per visit and would suggest that fewer customers are receiving such counsel, but those that do receive a relatively longer counsel.
</t>
        </r>
        <r>
          <rPr>
            <b/>
            <sz val="9"/>
            <color indexed="81"/>
            <rFont val="Tahoma"/>
            <family val="2"/>
          </rPr>
          <t>Recommendations:</t>
        </r>
        <r>
          <rPr>
            <sz val="9"/>
            <color indexed="81"/>
            <rFont val="Tahoma"/>
            <family val="2"/>
          </rPr>
          <t xml:space="preserve">
* Increase proactive medicines counsel frequency beyond the cohort average (49%) to at least 64%, which is the upper quintile boundary of cohort range and represents "best practice".  
* Improved performance in this ratio creates opportunity for high performance in add-on medicines and health solutions sales.
</t>
        </r>
      </text>
    </comment>
    <comment ref="I104" authorId="0" shapeId="0" xr:uid="{00000000-0006-0000-0500-000008000000}">
      <text>
        <r>
          <rPr>
            <b/>
            <sz val="9"/>
            <color indexed="81"/>
            <rFont val="Tahoma"/>
            <family val="2"/>
          </rPr>
          <t>Script add-on medicines sales ratio
Findings:</t>
        </r>
        <r>
          <rPr>
            <sz val="9"/>
            <color indexed="81"/>
            <rFont val="Tahoma"/>
            <family val="2"/>
          </rPr>
          <t xml:space="preserve">
* On average, 20.3 non-script health category products are sold per 100 script customer visits.
</t>
        </r>
        <r>
          <rPr>
            <b/>
            <sz val="9"/>
            <color indexed="81"/>
            <rFont val="Tahoma"/>
            <family val="2"/>
          </rPr>
          <t>Interpretations:</t>
        </r>
        <r>
          <rPr>
            <sz val="9"/>
            <color indexed="81"/>
            <rFont val="Tahoma"/>
            <family val="2"/>
          </rPr>
          <t xml:space="preserve">
* This result is lower than the cohort average (32.0 non-script health category products sold per 100 script customer visits) and in the middle three quintiles of cohort range.
* This result is in alignment with the below cohort average proactive health counsel and at odds with the above cohort average solution selling, and suggests that staff are driving conversations at the serving counters but are not converting them to sales at above cohort average levels. 
</t>
        </r>
        <r>
          <rPr>
            <b/>
            <sz val="9"/>
            <color indexed="81"/>
            <rFont val="Tahoma"/>
            <family val="2"/>
          </rPr>
          <t>Recommendations:</t>
        </r>
        <r>
          <rPr>
            <sz val="9"/>
            <color indexed="81"/>
            <rFont val="Tahoma"/>
            <family val="2"/>
          </rPr>
          <t xml:space="preserve">
* Increase sales conversion rate beyond the cohort average (32.0) to at least 43.7, which is the upper quintile boundary of cohort range and represents "best practice".  
* Optimise proactive health counsel and proactive solution selling techniques to achieve better conversion of counsel to staff-driven sales.
* Improved performance in this area creates opportunity for high customer health sales effectiveness.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GG</author>
    <author>Tamara</author>
  </authors>
  <commentList>
    <comment ref="I5" authorId="0" shapeId="0" xr:uid="{00000000-0006-0000-0600-000001000000}">
      <text>
        <r>
          <rPr>
            <b/>
            <sz val="9"/>
            <color indexed="81"/>
            <rFont val="Tahoma"/>
            <family val="2"/>
          </rPr>
          <t>OTC customer visit and engagement duration
Findings:</t>
        </r>
        <r>
          <rPr>
            <sz val="9"/>
            <color indexed="81"/>
            <rFont val="Tahoma"/>
            <family val="2"/>
          </rPr>
          <t xml:space="preserve">
* The average time the OTC customer spends at the dispensary is 3m 16s.
* 1m 34s (48%) of OTC customer time is spent engaged with a staff member.
* The other 1m 42s (52%) of OTC customer time is spent disengaged from any team members.
</t>
        </r>
        <r>
          <rPr>
            <b/>
            <sz val="9"/>
            <color indexed="81"/>
            <rFont val="Tahoma"/>
            <family val="2"/>
          </rPr>
          <t>Interpretations:</t>
        </r>
        <r>
          <rPr>
            <sz val="9"/>
            <color indexed="81"/>
            <rFont val="Tahoma"/>
            <family val="2"/>
          </rPr>
          <t xml:space="preserve">
* The 3m 16s OTC customer visit time is longer than the cohort average (2m 16s).
* Customer engagement time of 1m 34s is shorter than the cohort average (1m 49s), with the % engagement also being lower than the cohort average (48% vs 80%).
* OTC customers spend more time disengaged (1m 42s) than the cohort average (27s), with the % disengagement also being higher than the cohort average (52% vs 20%).
</t>
        </r>
        <r>
          <rPr>
            <b/>
            <sz val="9"/>
            <color indexed="81"/>
            <rFont val="Tahoma"/>
            <family val="2"/>
          </rPr>
          <t>Recommendations:</t>
        </r>
        <r>
          <rPr>
            <sz val="9"/>
            <color indexed="81"/>
            <rFont val="Tahoma"/>
            <family val="2"/>
          </rPr>
          <t xml:space="preserve">
* Increase OTC customer engagement time towards the cohort average.
* Reduce OTC customer disengagement time below the cohort average.
* High engagement/low disengagement performance creates opportunity for high proactive medicines and health counsel performance.
</t>
        </r>
      </text>
    </comment>
    <comment ref="I18" authorId="1" shapeId="0" xr:uid="{00000000-0006-0000-0600-000002000000}">
      <text>
        <r>
          <rPr>
            <b/>
            <sz val="9"/>
            <color indexed="81"/>
            <rFont val="Tahoma"/>
            <family val="2"/>
          </rPr>
          <t>OTC customer engagement effectiveness 
Findings:</t>
        </r>
        <r>
          <rPr>
            <sz val="9"/>
            <color indexed="81"/>
            <rFont val="Tahoma"/>
            <family val="2"/>
          </rPr>
          <t xml:space="preserve">
* Of the time spent engaged with the OTC customer:
   - 1s (1%) is spent in proactive solution selling.
   - 1s (1%) is spent in proactive health counsel.
   - 29s (31%) is spent in proactive medicines counsel.
   - 10s (11%) is spent in responsive counsel.
   - 53s (56%) is spent in value neutral engagement.
</t>
        </r>
        <r>
          <rPr>
            <b/>
            <sz val="9"/>
            <color indexed="81"/>
            <rFont val="Tahoma"/>
            <family val="2"/>
          </rPr>
          <t>Interpretations:</t>
        </r>
        <r>
          <rPr>
            <sz val="9"/>
            <color indexed="81"/>
            <rFont val="Tahoma"/>
            <family val="2"/>
          </rPr>
          <t xml:space="preserve">
* Proactive solution selling time comprises 1s (1%) of engaged time, which is shorter than the 8s (7%) cohort average.
* Proactive health counsel time is shorter than the cohort average 1s vs 11s (1% vs 10%).
* Proactive medicines counsel time is longer than the cohort average 29s vs 21s (31% vs 19%).
* Responsive counsel time is shorter than the cohort average 10s vs 28s (11% vs 25%).
*At 53s (56%) value neutral engagement with OTC customers is longer than the 43s (39%) cohort average, we interpret that the customer is self-medicating more than most.
</t>
        </r>
        <r>
          <rPr>
            <b/>
            <sz val="9"/>
            <color indexed="81"/>
            <rFont val="Tahoma"/>
            <family val="2"/>
          </rPr>
          <t>Recommendations:</t>
        </r>
        <r>
          <rPr>
            <sz val="9"/>
            <color indexed="81"/>
            <rFont val="Tahoma"/>
            <family val="2"/>
          </rPr>
          <t xml:space="preserve">
* Maintain proactive medicines counsel time above the cohort average.
* With the focus on increasing customer engagement time, increase proactive health counsel time and proactive solution selling above the cohort averages.
* High proactive medicines counsel time creates opportunity for high customer compliance.
* Increased proactive health counsel and proactive solution selling time are a valuable extension of proactive medicines counsel and when used appropriately together, create opportunities to give the customer a more complete solution and the pharmacy more add-on sales.
</t>
        </r>
      </text>
    </comment>
    <comment ref="I31" authorId="0" shapeId="0" xr:uid="{00000000-0006-0000-0600-000003000000}">
      <text>
        <r>
          <rPr>
            <b/>
            <sz val="9"/>
            <color indexed="81"/>
            <rFont val="Tahoma"/>
            <family val="2"/>
          </rPr>
          <t>OTC customer disengagement split
Findings:</t>
        </r>
        <r>
          <rPr>
            <sz val="9"/>
            <color indexed="81"/>
            <rFont val="Tahoma"/>
            <family val="2"/>
          </rPr>
          <t xml:space="preserve">
*  Of the time disengaged from the OTC customer:
   - 0s (0%) is spent queuing.
   - 1m 42s (100%) is  spent waiting.
</t>
        </r>
        <r>
          <rPr>
            <b/>
            <sz val="9"/>
            <color indexed="81"/>
            <rFont val="Tahoma"/>
            <family val="2"/>
          </rPr>
          <t>Interpretations:</t>
        </r>
        <r>
          <rPr>
            <sz val="9"/>
            <color indexed="81"/>
            <rFont val="Tahoma"/>
            <family val="2"/>
          </rPr>
          <t xml:space="preserve">
* Queuing time is shorter than the cohort average 0s vs 7s (0% vs 25%), which supports the interpretation of over-resourcing.
* Waiting time is longer than the cohort average 1m 42s vs 20s (100% vs 75%).
</t>
        </r>
        <r>
          <rPr>
            <b/>
            <sz val="9"/>
            <color indexed="81"/>
            <rFont val="Tahoma"/>
            <family val="2"/>
          </rPr>
          <t xml:space="preserve">
Recommendations:</t>
        </r>
        <r>
          <rPr>
            <sz val="9"/>
            <color indexed="81"/>
            <rFont val="Tahoma"/>
            <family val="2"/>
          </rPr>
          <t xml:space="preserve">
* Maintain queuing time below the cohort average.
* Reduce waiting time below the cohort average in line with state based regulations supporting OTC handling.  
* Low waiting time creates opportunity for high performance in year-on-year customer retention.
</t>
        </r>
      </text>
    </comment>
    <comment ref="I44" authorId="1" shapeId="0" xr:uid="{00000000-0006-0000-0600-000004000000}">
      <text>
        <r>
          <rPr>
            <b/>
            <sz val="9"/>
            <color rgb="FF000000"/>
            <rFont val="Tahoma"/>
            <family val="2"/>
          </rPr>
          <t>OTC customer proactive medicine counsel duration</t>
        </r>
        <r>
          <rPr>
            <sz val="9"/>
            <color rgb="FF000000"/>
            <rFont val="Tahoma"/>
            <family val="2"/>
          </rPr>
          <t xml:space="preserve">
</t>
        </r>
        <r>
          <rPr>
            <b/>
            <sz val="9"/>
            <color rgb="FF000000"/>
            <rFont val="Tahoma"/>
            <family val="2"/>
          </rPr>
          <t>Findings:</t>
        </r>
        <r>
          <rPr>
            <sz val="9"/>
            <color rgb="FF000000"/>
            <rFont val="Tahoma"/>
            <family val="2"/>
          </rPr>
          <t xml:space="preserve">
* OTC customers, on average, receive 29s of proactive medicine counsel per visit.    
</t>
        </r>
        <r>
          <rPr>
            <b/>
            <sz val="9"/>
            <color rgb="FF000000"/>
            <rFont val="Tahoma"/>
            <family val="2"/>
          </rPr>
          <t>Interpretations:</t>
        </r>
        <r>
          <rPr>
            <sz val="9"/>
            <color rgb="FF000000"/>
            <rFont val="Tahoma"/>
            <family val="2"/>
          </rPr>
          <t xml:space="preserve">
* This result is longer than the cohort average (21s), and in the middle three quintiles of cohort range.
</t>
        </r>
        <r>
          <rPr>
            <b/>
            <sz val="9"/>
            <color rgb="FF000000"/>
            <rFont val="Tahoma"/>
            <family val="2"/>
          </rPr>
          <t>Recommendations:</t>
        </r>
        <r>
          <rPr>
            <sz val="9"/>
            <color rgb="FF000000"/>
            <rFont val="Tahoma"/>
            <family val="2"/>
          </rPr>
          <t xml:space="preserve">
* Increase proactive medicines counsel time to at least 30s, which is the upper quintile boundary of cohort range and represents "best practice".  
* Increased proactive medicines counsel time creates opportunity for high customer compliance and avoids the potential for customers to make assumptions regarding their medicines.</t>
        </r>
        <r>
          <rPr>
            <sz val="8"/>
            <color rgb="FF000000"/>
            <rFont val="Arial"/>
            <family val="2"/>
          </rPr>
          <t xml:space="preserve">
</t>
        </r>
      </text>
    </comment>
    <comment ref="I58" authorId="1" shapeId="0" xr:uid="{00000000-0006-0000-0600-000005000000}">
      <text>
        <r>
          <rPr>
            <b/>
            <sz val="9"/>
            <color rgb="FF000000"/>
            <rFont val="Tahoma"/>
            <family val="2"/>
          </rPr>
          <t>OTC customer proactive health PLUS proactive solution selling duration</t>
        </r>
        <r>
          <rPr>
            <sz val="9"/>
            <color rgb="FF000000"/>
            <rFont val="Tahoma"/>
            <family val="2"/>
          </rPr>
          <t xml:space="preserve">
</t>
        </r>
        <r>
          <rPr>
            <b/>
            <sz val="9"/>
            <color rgb="FF000000"/>
            <rFont val="Tahoma"/>
            <family val="2"/>
          </rPr>
          <t>Findings:</t>
        </r>
        <r>
          <rPr>
            <sz val="9"/>
            <color rgb="FF000000"/>
            <rFont val="Tahoma"/>
            <family val="2"/>
          </rPr>
          <t xml:space="preserve">
* On average, each OTC customer receives 2s of proactive health and proactive solution selling.
</t>
        </r>
        <r>
          <rPr>
            <b/>
            <sz val="9"/>
            <color rgb="FF000000"/>
            <rFont val="Tahoma"/>
            <family val="2"/>
          </rPr>
          <t>Interpretations:</t>
        </r>
        <r>
          <rPr>
            <sz val="9"/>
            <color rgb="FF000000"/>
            <rFont val="Tahoma"/>
            <family val="2"/>
          </rPr>
          <t xml:space="preserve">
* This result is shorter than the cohort average (17s), and in the lower quintile of the cohort range.
</t>
        </r>
        <r>
          <rPr>
            <b/>
            <sz val="9"/>
            <color rgb="FF000000"/>
            <rFont val="Tahoma"/>
            <family val="2"/>
          </rPr>
          <t>Recommendations:</t>
        </r>
        <r>
          <rPr>
            <sz val="9"/>
            <color rgb="FF000000"/>
            <rFont val="Tahoma"/>
            <family val="2"/>
          </rPr>
          <t xml:space="preserve">
* Increase conversion of proactive medicines counsel to increase combined proactive health counsel and proactive solution selling time beyond the cohort average (17s) to at least 28s, which is the upper quintile boundary of cohort range, and represents "best practice".   
* Increased proactive health counsel and proactive solution selling time, where appropriate, are a valuable extension of proactive medicines counsel in terms of both customer service &amp; profitability</t>
        </r>
        <r>
          <rPr>
            <sz val="8"/>
            <color rgb="FF000000"/>
            <rFont val="Arial"/>
            <family val="2"/>
          </rPr>
          <t xml:space="preserve">
</t>
        </r>
      </text>
    </comment>
    <comment ref="I72" authorId="1" shapeId="0" xr:uid="{00000000-0006-0000-0600-000006000000}">
      <text>
        <r>
          <rPr>
            <b/>
            <sz val="9"/>
            <color indexed="81"/>
            <rFont val="Tahoma"/>
            <family val="2"/>
          </rPr>
          <t>OTC customer proactive medicines counsel frequency
Findings:</t>
        </r>
        <r>
          <rPr>
            <sz val="9"/>
            <color indexed="81"/>
            <rFont val="Tahoma"/>
            <family val="2"/>
          </rPr>
          <t xml:space="preserve">
* 44% of OTC customers are engaged in proactive medicines counselling.    
</t>
        </r>
        <r>
          <rPr>
            <b/>
            <sz val="9"/>
            <color indexed="81"/>
            <rFont val="Tahoma"/>
            <family val="2"/>
          </rPr>
          <t>Interpretations:</t>
        </r>
        <r>
          <rPr>
            <sz val="9"/>
            <color indexed="81"/>
            <rFont val="Tahoma"/>
            <family val="2"/>
          </rPr>
          <t xml:space="preserve">
* This result is lower than the cohort average of 54%, and in the middle three quintiles of cohort range.
* This result is at odds with the above cohort average proactive medicines counsel time and would suggest that fewer customers are receiving such counsel, but those that do receive a relatively longer counsel.
</t>
        </r>
        <r>
          <rPr>
            <b/>
            <sz val="9"/>
            <color indexed="81"/>
            <rFont val="Tahoma"/>
            <family val="2"/>
          </rPr>
          <t>Recommendations:</t>
        </r>
        <r>
          <rPr>
            <sz val="9"/>
            <color indexed="81"/>
            <rFont val="Tahoma"/>
            <family val="2"/>
          </rPr>
          <t xml:space="preserve">
* Increase proactive medicines counsel frequency beyond the cohort average (54%) to at least 72%, which is the upper quintile boundary of cohort range and represents "best practice".  
* Improved performance in this ratio creates opportunity for high customer compliance and avoids the potential for customers to make assumptions regarding their medicines.</t>
        </r>
      </text>
    </comment>
    <comment ref="I88" authorId="0" shapeId="0" xr:uid="{00000000-0006-0000-0600-000007000000}">
      <text>
        <r>
          <rPr>
            <b/>
            <sz val="9"/>
            <color indexed="81"/>
            <rFont val="Tahoma"/>
            <family val="2"/>
          </rPr>
          <t>OTC customer basket size ratio
Findings:</t>
        </r>
        <r>
          <rPr>
            <sz val="9"/>
            <color indexed="81"/>
            <rFont val="Tahoma"/>
            <family val="2"/>
          </rPr>
          <t xml:space="preserve">
* On average, 111.1 OTC items are sold per 100 OTC customers.
</t>
        </r>
        <r>
          <rPr>
            <b/>
            <sz val="9"/>
            <color indexed="81"/>
            <rFont val="Tahoma"/>
            <family val="2"/>
          </rPr>
          <t>Interpretations:</t>
        </r>
        <r>
          <rPr>
            <sz val="9"/>
            <color indexed="81"/>
            <rFont val="Tahoma"/>
            <family val="2"/>
          </rPr>
          <t xml:space="preserve">
* This result is below the cohort average (119.9 OTC items sold per 100 OTC customers), and in the middle three quintiles of cohort range.
* This result is in alignment with the below cohort average proactive solution selling time and proactive health counsel time, and suggests that neither staff nor customers are driving conversations at OTC that lead to above cohort health sales.
</t>
        </r>
        <r>
          <rPr>
            <b/>
            <sz val="9"/>
            <color indexed="81"/>
            <rFont val="Tahoma"/>
            <family val="2"/>
          </rPr>
          <t>Recommendations</t>
        </r>
        <r>
          <rPr>
            <sz val="9"/>
            <color indexed="81"/>
            <rFont val="Tahoma"/>
            <family val="2"/>
          </rPr>
          <t xml:space="preserve">:
* Increase conversion rate beyond the cohort average (119.9) to at least 133.3, which is the upper quintile boundary of cohort range and represents "best practice".  
* Increase proactive health counsel time and proactive solution selling time above the cohort average to improve opportunities for an increase in staff-driven conversions.
* Improved performance in this area creates opportunity for high customer health sales effectiveness.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GG</author>
    <author>Tamara</author>
  </authors>
  <commentList>
    <comment ref="I5" authorId="0" shapeId="0" xr:uid="{00000000-0006-0000-0700-000001000000}">
      <text>
        <r>
          <rPr>
            <b/>
            <sz val="9"/>
            <color indexed="81"/>
            <rFont val="Tahoma"/>
            <family val="2"/>
          </rPr>
          <t>Health category aisle customer visit and engagement duration
Findings:</t>
        </r>
        <r>
          <rPr>
            <sz val="9"/>
            <color indexed="81"/>
            <rFont val="Tahoma"/>
            <family val="2"/>
          </rPr>
          <t xml:space="preserve">
* The average time the Health category aisle customer spends at the dispensary is 2m 12s.
* 1m 40s (76%) of Health category aisle customer time is spent engaged with a staff member.
* The other 32s (24%) of Health category aisle customer time is spent disengaged from any team members.
</t>
        </r>
        <r>
          <rPr>
            <b/>
            <sz val="9"/>
            <color indexed="81"/>
            <rFont val="Tahoma"/>
            <family val="2"/>
          </rPr>
          <t>Interpretations:</t>
        </r>
        <r>
          <rPr>
            <sz val="9"/>
            <color indexed="81"/>
            <rFont val="Tahoma"/>
            <family val="2"/>
          </rPr>
          <t xml:space="preserve">
* The 2m 12s Health category aisle customer visit time is on par with the cohort average (2m 9s).
* Customer engagement time of 1m 40s is on par with the cohort average (1m 41s), with the % engagement being lower than the cohort average (76% vs 78%).
* Health category aisle customers spend more time disengaged (32s) than the cohort average (28s), with the % disengagement also being higher than the cohort average (24% vs 22%).
</t>
        </r>
        <r>
          <rPr>
            <b/>
            <sz val="9"/>
            <color indexed="81"/>
            <rFont val="Tahoma"/>
            <family val="2"/>
          </rPr>
          <t>Recommendations:</t>
        </r>
        <r>
          <rPr>
            <sz val="9"/>
            <color indexed="81"/>
            <rFont val="Tahoma"/>
            <family val="2"/>
          </rPr>
          <t xml:space="preserve">
* Increase Health category aisle customer engagement time clearly above the cohort average.
* Decrease Health category aisle customer disengagement time clearly below the cohort average.
* High engagement/low disengagement performance creates opportunity for high proactive medicines and health counsel performance.
</t>
        </r>
      </text>
    </comment>
    <comment ref="I18" authorId="1" shapeId="0" xr:uid="{00000000-0006-0000-0700-000002000000}">
      <text>
        <r>
          <rPr>
            <b/>
            <sz val="9"/>
            <color indexed="81"/>
            <rFont val="Tahoma"/>
            <family val="2"/>
          </rPr>
          <t>Health category aisle customer engagement effectiveness 
Findings:</t>
        </r>
        <r>
          <rPr>
            <sz val="9"/>
            <color indexed="81"/>
            <rFont val="Tahoma"/>
            <family val="2"/>
          </rPr>
          <t xml:space="preserve">
* Of the time spent engaged with the Health category aisle customer:
   - 1s (1%) is spent in proactive solution selling.
   - 2s (2%) is spent in proactive health counsel.
   - 8s (8%) is spent in proactive medicines counsel.
   - 48s (48%) is spent in responsive counsel.
   - 40s (41%) is spent in value neutral engagement.
</t>
        </r>
        <r>
          <rPr>
            <b/>
            <sz val="9"/>
            <color indexed="81"/>
            <rFont val="Tahoma"/>
            <family val="2"/>
          </rPr>
          <t>Interpretations:</t>
        </r>
        <r>
          <rPr>
            <sz val="9"/>
            <color indexed="81"/>
            <rFont val="Tahoma"/>
            <family val="2"/>
          </rPr>
          <t xml:space="preserve">
* Proactive solution selling comprises 1s (1%) of engaged time, which is shorter than the 6s (5%) cohort average.
* Proactive health counsel is shorter than the cohort average 2s vs 10s (2% vs 10%).
* Proactive medicines counsel is shorter than the cohort average 8s vs 19s (8% vs 18%).
*At 40s (41%) value neutral engagement with Health category aisle customers is longer than the 37s (36%) cohort average, we interpret that the customer is self-medicating more than most.
</t>
        </r>
        <r>
          <rPr>
            <b/>
            <sz val="9"/>
            <color indexed="81"/>
            <rFont val="Tahoma"/>
            <family val="2"/>
          </rPr>
          <t>Recommendations:</t>
        </r>
        <r>
          <rPr>
            <sz val="9"/>
            <color indexed="81"/>
            <rFont val="Tahoma"/>
            <family val="2"/>
          </rPr>
          <t xml:space="preserve">
* Increase proactive solution selling above the cohort average.
* With the focus on increasing customer engagement, increase proactive health &amp; medicines counsel towards the cohort average.
* Improved performance in proactive health &amp; medicines counsel will create opportunity for conversion to proactive solution selling.
* Improved performance in proactive solution selling, where appropriate, is a valuable extension of proactive health and medicines counsel in terms of both customer service &amp; profitability.
</t>
        </r>
      </text>
    </comment>
    <comment ref="I31" authorId="0" shapeId="0" xr:uid="{00000000-0006-0000-0700-000003000000}">
      <text>
        <r>
          <rPr>
            <b/>
            <sz val="9"/>
            <color indexed="81"/>
            <rFont val="Tahoma"/>
            <family val="2"/>
          </rPr>
          <t>Health category aisle customer disengagement split
Findings:</t>
        </r>
        <r>
          <rPr>
            <sz val="9"/>
            <color indexed="81"/>
            <rFont val="Tahoma"/>
            <family val="2"/>
          </rPr>
          <t xml:space="preserve">
*  Of the time disengaged from the Health category aisle customer:
   - 13s (39%) is spent queuing.
   - 20s (61%) is  spent waiting.
</t>
        </r>
        <r>
          <rPr>
            <b/>
            <sz val="9"/>
            <color indexed="81"/>
            <rFont val="Tahoma"/>
            <family val="2"/>
          </rPr>
          <t>Interpretations:</t>
        </r>
        <r>
          <rPr>
            <sz val="9"/>
            <color indexed="81"/>
            <rFont val="Tahoma"/>
            <family val="2"/>
          </rPr>
          <t xml:space="preserve">
* Queuing is longer than the cohort average 13s vs 8s (39% vs 27%).
* Waiting is on par with the cohort average 20s vs 21s (61% vs 73%).
</t>
        </r>
        <r>
          <rPr>
            <b/>
            <sz val="9"/>
            <color indexed="81"/>
            <rFont val="Tahoma"/>
            <family val="2"/>
          </rPr>
          <t xml:space="preserve">
Recommendations:</t>
        </r>
        <r>
          <rPr>
            <sz val="9"/>
            <color indexed="81"/>
            <rFont val="Tahoma"/>
            <family val="2"/>
          </rPr>
          <t xml:space="preserve">
* Reduce queuing time below the cohort average.
* Reduce waiting time clearly below the cohort average.... in line with state based regulations supporting OTC handling.  
* Improved performance in waiting time creates opportunity for high performance in year-on-year customer retention.
</t>
        </r>
      </text>
    </comment>
    <comment ref="I44" authorId="1" shapeId="0" xr:uid="{00000000-0006-0000-0700-000004000000}">
      <text>
        <r>
          <rPr>
            <b/>
            <sz val="9"/>
            <color indexed="81"/>
            <rFont val="Tahoma"/>
            <family val="2"/>
          </rPr>
          <t>Combined Health category aisle customer proactive health PLUS proactive medicines counsel duration
Findings:</t>
        </r>
        <r>
          <rPr>
            <sz val="9"/>
            <color indexed="81"/>
            <rFont val="Tahoma"/>
            <family val="2"/>
          </rPr>
          <t xml:space="preserve">
* Health category aisle customers, on average, receive 10s of proactive health &amp; medicines counselling per visit.    
</t>
        </r>
        <r>
          <rPr>
            <b/>
            <sz val="9"/>
            <color indexed="81"/>
            <rFont val="Tahoma"/>
            <family val="2"/>
          </rPr>
          <t>Interpretations:</t>
        </r>
        <r>
          <rPr>
            <sz val="9"/>
            <color indexed="81"/>
            <rFont val="Tahoma"/>
            <family val="2"/>
          </rPr>
          <t xml:space="preserve">
* This result is shorter than the cohort average (28s), and in the lower quintile of cohort range.
</t>
        </r>
        <r>
          <rPr>
            <b/>
            <sz val="9"/>
            <color indexed="81"/>
            <rFont val="Tahoma"/>
            <family val="2"/>
          </rPr>
          <t>Recommendations:</t>
        </r>
        <r>
          <rPr>
            <sz val="9"/>
            <color indexed="81"/>
            <rFont val="Tahoma"/>
            <family val="2"/>
          </rPr>
          <t xml:space="preserve">
* Increase proactive health &amp; medicines counsel time beyond the cohort average (28s) to at least 44s, which is the upper quintile boundary of cohort range and represents "best practice".  
* Improved performance in proactive health &amp; medicines counsel creates opportunity for high performance in add-on medicines and health solutions sales.
</t>
        </r>
      </text>
    </comment>
    <comment ref="I58" authorId="1" shapeId="0" xr:uid="{00000000-0006-0000-0700-000005000000}">
      <text>
        <r>
          <rPr>
            <b/>
            <sz val="9"/>
            <color indexed="81"/>
            <rFont val="Tahoma"/>
            <family val="2"/>
          </rPr>
          <t>Health category aisle customer proactive solution selling duration
Findings:</t>
        </r>
        <r>
          <rPr>
            <sz val="9"/>
            <color indexed="81"/>
            <rFont val="Tahoma"/>
            <family val="2"/>
          </rPr>
          <t xml:space="preserve">
* On average, each Health category aisle customer receives 1s of proactive solution selling.
</t>
        </r>
        <r>
          <rPr>
            <b/>
            <sz val="9"/>
            <color indexed="81"/>
            <rFont val="Tahoma"/>
            <family val="2"/>
          </rPr>
          <t>Interpretations:</t>
        </r>
        <r>
          <rPr>
            <sz val="9"/>
            <color indexed="81"/>
            <rFont val="Tahoma"/>
            <family val="2"/>
          </rPr>
          <t xml:space="preserve">
* This result is shorter than the cohort average (6s), and in the lower quintile of the cohort range.
</t>
        </r>
        <r>
          <rPr>
            <b/>
            <sz val="9"/>
            <color indexed="81"/>
            <rFont val="Tahoma"/>
            <family val="2"/>
          </rPr>
          <t>Recommendations:</t>
        </r>
        <r>
          <rPr>
            <sz val="9"/>
            <color indexed="81"/>
            <rFont val="Tahoma"/>
            <family val="2"/>
          </rPr>
          <t xml:space="preserve">
* Increase conversion of proactive counsel to increase proactive solution selling beyond the cohort average (6s) to at least 8s, which is the upper quintile boundary of cohort range, and represents "best practice".  
* Improved performance in proactive solution selling, where appropriate, is a valuable extension of proactive health and medicines counsel in terms of both customer service &amp; profitability.
</t>
        </r>
      </text>
    </comment>
    <comment ref="I73" authorId="1" shapeId="0" xr:uid="{00000000-0006-0000-0700-000006000000}">
      <text>
        <r>
          <rPr>
            <b/>
            <sz val="9"/>
            <color indexed="81"/>
            <rFont val="Tahoma"/>
            <family val="2"/>
          </rPr>
          <t>Health category aisle customer proactive medicines counsel frequency
Findings:</t>
        </r>
        <r>
          <rPr>
            <sz val="9"/>
            <color indexed="81"/>
            <rFont val="Tahoma"/>
            <family val="2"/>
          </rPr>
          <t xml:space="preserve">
* 38% of Health category aisle customers are engaged in proactive medicines counselling.    
</t>
        </r>
        <r>
          <rPr>
            <b/>
            <sz val="9"/>
            <color indexed="81"/>
            <rFont val="Tahoma"/>
            <family val="2"/>
          </rPr>
          <t>Interpretations:</t>
        </r>
        <r>
          <rPr>
            <sz val="9"/>
            <color indexed="81"/>
            <rFont val="Tahoma"/>
            <family val="2"/>
          </rPr>
          <t xml:space="preserve">
* This result is lower than the cohort average of 54%, and in the middle three quintiles of cohort range.
* This result is in alignment with the below cohort average proactive medicines counsel time.
</t>
        </r>
        <r>
          <rPr>
            <b/>
            <sz val="9"/>
            <color indexed="81"/>
            <rFont val="Tahoma"/>
            <family val="2"/>
          </rPr>
          <t>Recommendations:</t>
        </r>
        <r>
          <rPr>
            <sz val="9"/>
            <color indexed="81"/>
            <rFont val="Tahoma"/>
            <family val="2"/>
          </rPr>
          <t xml:space="preserve">
* Increase proactive medicines counsel frequency beyond the cohort average (54%) to at least 75%, which is the upper quintile boundary of cohort range and represents "best practice".  
* Improved performance in this ratio creates opportunity for high performance in add-on medicines and health solutions sales.
</t>
        </r>
      </text>
    </comment>
    <comment ref="I88" authorId="0" shapeId="0" xr:uid="{00000000-0006-0000-0700-000007000000}">
      <text>
        <r>
          <rPr>
            <b/>
            <sz val="9"/>
            <color indexed="81"/>
            <rFont val="Tahoma"/>
            <family val="2"/>
          </rPr>
          <t>Health category aisle customer basket size ratio
Findings:</t>
        </r>
        <r>
          <rPr>
            <sz val="9"/>
            <color indexed="81"/>
            <rFont val="Tahoma"/>
            <family val="2"/>
          </rPr>
          <t xml:space="preserve">
* On average, 112.5 OTC items are sold per 100 Health category aisle customers.
</t>
        </r>
        <r>
          <rPr>
            <b/>
            <sz val="9"/>
            <color indexed="81"/>
            <rFont val="Tahoma"/>
            <family val="2"/>
          </rPr>
          <t>Interpretations:</t>
        </r>
        <r>
          <rPr>
            <sz val="9"/>
            <color indexed="81"/>
            <rFont val="Tahoma"/>
            <family val="2"/>
          </rPr>
          <t xml:space="preserve">
* This result is below the cohort average (117.9 OTC items sold per 100 Health category aisle customers), and in the middle three quintiles of cohort range.
* This result is in alignment with the below cohort levels of proactive solution selling and proactive health &amp; medicines counsel, and suggests that neither staff nor customers are proactively driving conversations at OTC to create above cohort average add-on performance.
</t>
        </r>
        <r>
          <rPr>
            <b/>
            <sz val="9"/>
            <color indexed="81"/>
            <rFont val="Tahoma"/>
            <family val="2"/>
          </rPr>
          <t>Recommendations</t>
        </r>
        <r>
          <rPr>
            <sz val="9"/>
            <color indexed="81"/>
            <rFont val="Tahoma"/>
            <family val="2"/>
          </rPr>
          <t xml:space="preserve">:
* Increase conversion rate beyond the cohort average (117.9) to at least 130.6, which is the upper quintile boundary of cohort range and represents "best practice".  
* Increase proactive counsel and proactive solution selling to beyond the cohort average to improve opportunities for an increase in staff-driven conversions
* Improved performance in OTC items sold creates opportunity for high performance in health category product and service sales.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Tamara</author>
  </authors>
  <commentList>
    <comment ref="E5" authorId="0" shapeId="0" xr:uid="{00000000-0006-0000-0800-000001000000}">
      <text>
        <r>
          <rPr>
            <b/>
            <sz val="9"/>
            <color indexed="81"/>
            <rFont val="Tahoma"/>
            <family val="2"/>
          </rPr>
          <t>Meds Checks
"Number of Meds Checks per month"
Findings:</t>
        </r>
        <r>
          <rPr>
            <sz val="9"/>
            <color indexed="81"/>
            <rFont val="Tahoma"/>
            <family val="2"/>
          </rPr>
          <t xml:space="preserve">
* There are 15 Meds Checks performed each month.
</t>
        </r>
        <r>
          <rPr>
            <b/>
            <sz val="9"/>
            <color indexed="81"/>
            <rFont val="Tahoma"/>
            <family val="2"/>
          </rPr>
          <t>Interpretations:</t>
        </r>
        <r>
          <rPr>
            <sz val="9"/>
            <color indexed="81"/>
            <rFont val="Tahoma"/>
            <family val="2"/>
          </rPr>
          <t xml:space="preserve">
* This result is higher than the cohort average (4 Meds Checks per month), and in the upper quintile of cohort range.
</t>
        </r>
        <r>
          <rPr>
            <b/>
            <sz val="9"/>
            <color indexed="81"/>
            <rFont val="Tahoma"/>
            <family val="2"/>
          </rPr>
          <t>Recommendations:</t>
        </r>
        <r>
          <rPr>
            <sz val="9"/>
            <color indexed="81"/>
            <rFont val="Tahoma"/>
            <family val="2"/>
          </rPr>
          <t xml:space="preserve">
* Maintain Meds Checks proactivity of at least 9, which is the upper quintile boundary of cohort range and represents "best practice".   </t>
        </r>
      </text>
    </comment>
    <comment ref="K5" authorId="0" shapeId="0" xr:uid="{00000000-0006-0000-0800-000002000000}">
      <text>
        <r>
          <rPr>
            <b/>
            <sz val="9"/>
            <color indexed="81"/>
            <rFont val="Tahoma"/>
            <family val="2"/>
          </rPr>
          <t>Interventions ratio
"Number of interventions per 100K script items"
Findings:</t>
        </r>
        <r>
          <rPr>
            <sz val="9"/>
            <color indexed="81"/>
            <rFont val="Tahoma"/>
            <family val="2"/>
          </rPr>
          <t xml:space="preserve">
* There are 662 interventions performed for every 100,000 script items processed.
</t>
        </r>
        <r>
          <rPr>
            <b/>
            <sz val="9"/>
            <color indexed="81"/>
            <rFont val="Tahoma"/>
            <family val="2"/>
          </rPr>
          <t xml:space="preserve">Interpretations: 
* </t>
        </r>
        <r>
          <rPr>
            <sz val="9"/>
            <color indexed="81"/>
            <rFont val="Tahoma"/>
            <family val="2"/>
          </rPr>
          <t xml:space="preserve">This result is lower than the cohort average (1719 interventions per 100K script items processed), and in the middle three quintiles of cohort range.
</t>
        </r>
        <r>
          <rPr>
            <b/>
            <sz val="9"/>
            <color indexed="81"/>
            <rFont val="Tahoma"/>
            <family val="2"/>
          </rPr>
          <t xml:space="preserve">Recommendations: </t>
        </r>
        <r>
          <rPr>
            <sz val="9"/>
            <color indexed="81"/>
            <rFont val="Tahoma"/>
            <family val="2"/>
          </rPr>
          <t xml:space="preserve">
* Increase interventionary proactivity beyond the cohort average (1719) to at least 3049, which is the upper quintile boundary of cohort range and represents "best practice".  </t>
        </r>
      </text>
    </comment>
    <comment ref="H20" authorId="0" shapeId="0" xr:uid="{00000000-0006-0000-0800-000003000000}">
      <text>
        <r>
          <rPr>
            <b/>
            <sz val="9"/>
            <color indexed="81"/>
            <rFont val="Tahoma"/>
            <family val="2"/>
          </rPr>
          <t>DAA Patients
"# DAA patients per 100K script customer transactions" 
Findings:</t>
        </r>
        <r>
          <rPr>
            <sz val="9"/>
            <color indexed="81"/>
            <rFont val="Tahoma"/>
            <family val="2"/>
          </rPr>
          <t xml:space="preserve">
* There are 175 DAA patients every 100,000 script customer transactions.
</t>
        </r>
        <r>
          <rPr>
            <b/>
            <sz val="9"/>
            <color indexed="81"/>
            <rFont val="Tahoma"/>
            <family val="2"/>
          </rPr>
          <t xml:space="preserve">Interpretations: 
* </t>
        </r>
        <r>
          <rPr>
            <sz val="9"/>
            <color indexed="81"/>
            <rFont val="Tahoma"/>
            <family val="2"/>
          </rPr>
          <t xml:space="preserve">This result is lower than the cohort average (225 DAA patients per100K script customer transactions), and in the middle three quintiles of cohort range.
</t>
        </r>
        <r>
          <rPr>
            <b/>
            <sz val="9"/>
            <color indexed="81"/>
            <rFont val="Tahoma"/>
            <family val="2"/>
          </rPr>
          <t xml:space="preserve">Recommendations: </t>
        </r>
        <r>
          <rPr>
            <sz val="9"/>
            <color indexed="81"/>
            <rFont val="Tahoma"/>
            <family val="2"/>
          </rPr>
          <t xml:space="preserve">
* Increase DAA patients beyond the cohort average to at least 313, which is the upper quintile boundary of cohort range and represents "best practice".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GG</author>
    <author>Tamara</author>
  </authors>
  <commentList>
    <comment ref="F5" authorId="0" shapeId="0" xr:uid="{00000000-0006-0000-0900-000001000000}">
      <text>
        <r>
          <rPr>
            <b/>
            <sz val="9"/>
            <color indexed="81"/>
            <rFont val="Tahoma"/>
            <family val="2"/>
          </rPr>
          <t xml:space="preserve">Script add-on medicines sales ratio
Findings:
</t>
        </r>
        <r>
          <rPr>
            <sz val="9"/>
            <color indexed="81"/>
            <rFont val="Tahoma"/>
            <family val="2"/>
          </rPr>
          <t>* On average, 20.3 non-script health category products are sold per 100 script customer visits.</t>
        </r>
        <r>
          <rPr>
            <b/>
            <sz val="9"/>
            <color indexed="81"/>
            <rFont val="Tahoma"/>
            <family val="2"/>
          </rPr>
          <t xml:space="preserve">
Interpretations:
</t>
        </r>
        <r>
          <rPr>
            <sz val="9"/>
            <color indexed="81"/>
            <rFont val="Tahoma"/>
            <family val="2"/>
          </rPr>
          <t>* This result is lower than the cohort average (32.0 non-script health category products sold per 100 script customer visits) and in the middle three quintiles of cohort range.
* This result is in alignment with the below cohort average proactive health counsel and at odds with the above cohort average solution selling, and suggests that staff are driving conversations at the serving counters but are not converting them to sales at above cohort average levels.</t>
        </r>
        <r>
          <rPr>
            <b/>
            <sz val="9"/>
            <color indexed="81"/>
            <rFont val="Tahoma"/>
            <family val="2"/>
          </rPr>
          <t xml:space="preserve"> 
Recommendations:
</t>
        </r>
        <r>
          <rPr>
            <sz val="9"/>
            <color indexed="81"/>
            <rFont val="Tahoma"/>
            <family val="2"/>
          </rPr>
          <t xml:space="preserve">* Increase sales conversion rate beyond the cohort average (32.0) to at least 43.7, which is the upper quintile boundary of cohort range and represents "best practice".  
* Optimise proactive health counsel and proactive solution selling techniques to achieve better conversion of counsel to staff-driven sales.
* Improved performance in this area creates opportunity for high customer health sales effectiveness.
* On average, 20.3 non-script health category products are sold per 100 script customer visits.
</t>
        </r>
      </text>
    </comment>
    <comment ref="L5" authorId="0" shapeId="0" xr:uid="{00000000-0006-0000-0900-000002000000}">
      <text>
        <r>
          <rPr>
            <b/>
            <sz val="9"/>
            <color indexed="81"/>
            <rFont val="Tahoma"/>
            <family val="2"/>
          </rPr>
          <t>OTC customer basket size ratio
Findings:</t>
        </r>
        <r>
          <rPr>
            <sz val="9"/>
            <color indexed="81"/>
            <rFont val="Tahoma"/>
            <family val="2"/>
          </rPr>
          <t xml:space="preserve">
* On average, 111.1 OTC items are sold per 100 OTC customers.
</t>
        </r>
        <r>
          <rPr>
            <b/>
            <sz val="9"/>
            <color indexed="81"/>
            <rFont val="Tahoma"/>
            <family val="2"/>
          </rPr>
          <t xml:space="preserve">
Interpretations:</t>
        </r>
        <r>
          <rPr>
            <sz val="9"/>
            <color indexed="81"/>
            <rFont val="Tahoma"/>
            <family val="2"/>
          </rPr>
          <t xml:space="preserve">
* This result is below the cohort average (119.9 OTC items sold per 100 OTC customers), and in the middle three quintiles of cohort range.
* This result is in alignment with the below cohort average proactive solution selling time and proactive health counsel time, and suggests that neither staff nor customers are driving conversations at OTC that lead to above cohort health sales.
</t>
        </r>
        <r>
          <rPr>
            <b/>
            <sz val="9"/>
            <color indexed="81"/>
            <rFont val="Tahoma"/>
            <family val="2"/>
          </rPr>
          <t xml:space="preserve">
Recommendations:</t>
        </r>
        <r>
          <rPr>
            <sz val="9"/>
            <color indexed="81"/>
            <rFont val="Tahoma"/>
            <family val="2"/>
          </rPr>
          <t xml:space="preserve">
* Increase conversion rate beyond the cohort average (119.9) to at least 133.3, which is the upper quintile boundary of cohort range and represents "best practice".  
* Increase proactive health counsel time and proactive solution selling time above the cohort average to improve opportunities for an increase in staff-driven conversions.
* Improved performance in this area creates opportunity for high customer health sales effectiveness.</t>
        </r>
      </text>
    </comment>
    <comment ref="R5" authorId="0" shapeId="0" xr:uid="{00000000-0006-0000-0900-000003000000}">
      <text>
        <r>
          <rPr>
            <b/>
            <sz val="9"/>
            <color indexed="81"/>
            <rFont val="Tahoma"/>
            <family val="2"/>
          </rPr>
          <t>Health category aisle customer basket size ratio
Findings:</t>
        </r>
        <r>
          <rPr>
            <sz val="9"/>
            <color indexed="81"/>
            <rFont val="Tahoma"/>
            <family val="2"/>
          </rPr>
          <t xml:space="preserve">
* On average, 112.5 Health category aisle items are sold per 100 Health category aisle customers.
</t>
        </r>
        <r>
          <rPr>
            <b/>
            <sz val="9"/>
            <color indexed="81"/>
            <rFont val="Tahoma"/>
            <family val="2"/>
          </rPr>
          <t>Interpretations:</t>
        </r>
        <r>
          <rPr>
            <sz val="9"/>
            <color indexed="81"/>
            <rFont val="Tahoma"/>
            <family val="2"/>
          </rPr>
          <t xml:space="preserve">
* This result is below the cohort average (117.9 Health category aisle items sold per 100 Health category aisle customers), and in the middle three quintiles of cohort range.
* This result is in alignment with the below cohort levels of proactive solution selling and proactive health &amp; medicines counsel, and suggests that neither staff nor customers are proactively driving conversations at OTC to create above cohort average add-on performance.
</t>
        </r>
        <r>
          <rPr>
            <b/>
            <sz val="9"/>
            <color indexed="81"/>
            <rFont val="Tahoma"/>
            <family val="2"/>
          </rPr>
          <t>Recommendations</t>
        </r>
        <r>
          <rPr>
            <sz val="9"/>
            <color indexed="81"/>
            <rFont val="Tahoma"/>
            <family val="2"/>
          </rPr>
          <t xml:space="preserve">:
* Increase conversion rate beyond the cohort average (117.9) to at least 130.6, which is the upper quintile boundary of cohort range and represents "best practice".  
* Increase proactive counsel and proactive solution selling to beyond the cohort average to improve opportunities for an increase in staff-driven conversions
* Improved performance in OTC items sold creates opportunity for high performance in health category product and service sales.
</t>
        </r>
      </text>
    </comment>
    <comment ref="I23" authorId="1" shapeId="0" xr:uid="{00000000-0006-0000-0900-000004000000}">
      <text>
        <r>
          <rPr>
            <b/>
            <sz val="9"/>
            <color rgb="FF000000"/>
            <rFont val="Tahoma"/>
            <family val="2"/>
          </rPr>
          <t># items sold in non-script health categories per script customer transaction
"health customer sales ratio - volume"
Findings:</t>
        </r>
        <r>
          <rPr>
            <sz val="9"/>
            <color rgb="FF000000"/>
            <rFont val="Tahoma"/>
            <family val="2"/>
          </rPr>
          <t xml:space="preserve">
* Script customers purchase an average of 1.3 items in non-script health categories per script customer transaction (see definitions document for health categories listing).
</t>
        </r>
        <r>
          <rPr>
            <b/>
            <sz val="9"/>
            <color rgb="FF000000"/>
            <rFont val="Tahoma"/>
            <family val="2"/>
          </rPr>
          <t>Interpretations:</t>
        </r>
        <r>
          <rPr>
            <sz val="9"/>
            <color rgb="FF000000"/>
            <rFont val="Tahoma"/>
            <family val="2"/>
          </rPr>
          <t xml:space="preserve">
* This result is lower than the cohort average (1.9 items per script transaction) and in the middle three quintiles of cohort range.
* This result is in alignment with the below cohort script add-on sales and OTC items sold.
* When the s3/s2/s0 volume performances from the three primary sources are all converted to a “per script customer visit” ratio, this result shows that:
- 0.2 non-script health category items per script customer visit are purchased through script counter conversations, which is on par with the cohort* average (0.2 items per script visit)
- 0.3 non-script health category items per script customer visit are purchased through conversations at OTC, which is lower than the cohort* average (0.5 items per script visit)
- 0.7 non-script health category items per script customer visit are purchased through self-selection in the mid-store, which is lower than the cohort* average (1.4 items per script visit)
* The unique ratio of script: OTC customer visits is 1:3.3
* This result also shows that:
- 42% of non-script health category unit volume comes from script/OTC counter conversations, which is higher than the cohort* average of 35%
- 58% of non-script health category unit volume comes from self-selection in the mid-store, which is lower than the cohort* average of 64%
* Cohort is for states with the same S2 legislation
</t>
        </r>
        <r>
          <rPr>
            <b/>
            <sz val="9"/>
            <color rgb="FF000000"/>
            <rFont val="Tahoma"/>
            <family val="2"/>
          </rPr>
          <t>Recommendations:</t>
        </r>
        <r>
          <rPr>
            <sz val="9"/>
            <color rgb="FF000000"/>
            <rFont val="Tahoma"/>
            <family val="2"/>
          </rPr>
          <t xml:space="preserve">
* Increase items sold beyond the cohort average to at least 2.5 items sold per script customer transaction, which is the boundary of the upper quintile and represents "best practice".
* Focus on increasing add-on sales to script customers and items sold to OTC customers.
* Increase proactive counsel &amp; optimise proactive solution selling to script &amp; OTC customers to increase staff-driven sales.
* Review ranging/merchandising strategies and execution to optimise mid-store opportunities.
* Improve staff proactivity out on the floor/gondolas to help increase total unit volume performance and mid-store performance.
* Review performance against sales volume strategy regarding contributions from conversations at script counters or OTC vs self-selection in the mid-store.</t>
        </r>
        <r>
          <rPr>
            <sz val="8"/>
            <color rgb="FF000000"/>
            <rFont val="Arial"/>
            <family val="2"/>
          </rPr>
          <t xml:space="preserve">
</t>
        </r>
      </text>
    </comment>
    <comment ref="O23" authorId="1" shapeId="0" xr:uid="{00000000-0006-0000-0900-000005000000}">
      <text>
        <r>
          <rPr>
            <b/>
            <sz val="9"/>
            <color indexed="81"/>
            <rFont val="Tahoma"/>
            <family val="2"/>
          </rPr>
          <t>Average price per non-script health category item sold
Findings:</t>
        </r>
        <r>
          <rPr>
            <sz val="9"/>
            <color indexed="81"/>
            <rFont val="Tahoma"/>
            <family val="2"/>
          </rPr>
          <t xml:space="preserve">
* Each non-script health category item sold per script customer transaction has an average value of $13.53.
</t>
        </r>
        <r>
          <rPr>
            <b/>
            <sz val="9"/>
            <color indexed="81"/>
            <rFont val="Tahoma"/>
            <family val="2"/>
          </rPr>
          <t>Interpretations:</t>
        </r>
        <r>
          <rPr>
            <sz val="9"/>
            <color indexed="81"/>
            <rFont val="Tahoma"/>
            <family val="2"/>
          </rPr>
          <t xml:space="preserve">
* This result is higher than the cohort average ($12.12 per non-script health category item sold) and in the middle three quintiles of cohort range.
* This result suggests an above cohort performance of one or both of (i) like for like average price and (ii) pricing of alternatives being sold.
</t>
        </r>
        <r>
          <rPr>
            <b/>
            <sz val="9"/>
            <color indexed="81"/>
            <rFont val="Tahoma"/>
            <family val="2"/>
          </rPr>
          <t>Recommendations:</t>
        </r>
        <r>
          <rPr>
            <sz val="9"/>
            <color indexed="81"/>
            <rFont val="Tahoma"/>
            <family val="2"/>
          </rPr>
          <t xml:space="preserve">
* Compare the average price per non-script health category item to cohort value and review current pricing strategy and execution.
* Focus on staff-driven sales of higher value health category items.</t>
        </r>
      </text>
    </comment>
    <comment ref="V23" authorId="1" shapeId="0" xr:uid="{00000000-0006-0000-0900-000006000000}">
      <text>
        <r>
          <rPr>
            <b/>
            <sz val="9"/>
            <color indexed="81"/>
            <rFont val="Tahoma"/>
            <family val="2"/>
          </rPr>
          <t>$ sales in non-script health categories per script customer transaction over 12 months
"health customer sales ratio - value"
Findings:</t>
        </r>
        <r>
          <rPr>
            <sz val="9"/>
            <color indexed="81"/>
            <rFont val="Tahoma"/>
            <family val="2"/>
          </rPr>
          <t xml:space="preserve">
* As a ratio and proxy for health customer sales effectiveness, an average spend of $17.28 on products from non-script health categories is produced per script customer transaction (see definitions document for health categories listing).
</t>
        </r>
        <r>
          <rPr>
            <b/>
            <sz val="9"/>
            <color indexed="81"/>
            <rFont val="Tahoma"/>
            <family val="2"/>
          </rPr>
          <t>Interpretations:</t>
        </r>
        <r>
          <rPr>
            <sz val="9"/>
            <color indexed="81"/>
            <rFont val="Tahoma"/>
            <family val="2"/>
          </rPr>
          <t xml:space="preserve">
* This result is lower than the cohort average of $22.45, and in the middle three quintiles of cohort range.
* This result suggests that the above-cohort average price per item cannot compensate for the under-performing total sales volume (script, OTC &amp; mid-store).
</t>
        </r>
        <r>
          <rPr>
            <b/>
            <sz val="9"/>
            <color indexed="81"/>
            <rFont val="Tahoma"/>
            <family val="2"/>
          </rPr>
          <t>Recommendations:</t>
        </r>
        <r>
          <rPr>
            <sz val="9"/>
            <color indexed="81"/>
            <rFont val="Tahoma"/>
            <family val="2"/>
          </rPr>
          <t xml:space="preserve">
* Set internal targets towards the cohort average, taking account of comparative dispensary: non-dispensary revenue weighting.
* Consider health solutions opportunities of higher value to maximise sales in health categories.
</t>
        </r>
      </text>
    </comment>
    <comment ref="H42" authorId="1" shapeId="0" xr:uid="{00000000-0006-0000-0900-000007000000}">
      <text>
        <r>
          <rPr>
            <b/>
            <sz val="9"/>
            <color indexed="81"/>
            <rFont val="Tahoma"/>
            <family val="2"/>
          </rPr>
          <t>Change in script item volume year-on-year
" year-on-year script customer retention" 
Findings:</t>
        </r>
        <r>
          <rPr>
            <sz val="9"/>
            <color indexed="81"/>
            <rFont val="Tahoma"/>
            <family val="2"/>
          </rPr>
          <t xml:space="preserve">
* There has been a 3.0% increase in script volume on the previous 12 months.
</t>
        </r>
        <r>
          <rPr>
            <b/>
            <sz val="9"/>
            <color indexed="81"/>
            <rFont val="Tahoma"/>
            <family val="2"/>
          </rPr>
          <t>Interpretations:</t>
        </r>
        <r>
          <rPr>
            <sz val="9"/>
            <color indexed="81"/>
            <rFont val="Tahoma"/>
            <family val="2"/>
          </rPr>
          <t xml:space="preserve">
* This result is on the same level as the cohort average of a 2% increase in script volume and in the middle three quintiles of cohort range.
* Determine the degree to which this increase is due to factors extraneous to this report.
</t>
        </r>
        <r>
          <rPr>
            <b/>
            <sz val="9"/>
            <color indexed="81"/>
            <rFont val="Tahoma"/>
            <family val="2"/>
          </rPr>
          <t>Recommendations:</t>
        </r>
        <r>
          <rPr>
            <sz val="9"/>
            <color indexed="81"/>
            <rFont val="Tahoma"/>
            <family val="2"/>
          </rPr>
          <t xml:space="preserve">
* In any case, leveraging the recommendations that point to the opportunity to increase 1: 1 visit dispense &amp; proactive counsel should improve script customers returning for health advice (ie pulling power as a health destination).</t>
        </r>
      </text>
    </comment>
    <comment ref="P42" authorId="1" shapeId="0" xr:uid="{00000000-0006-0000-0900-000008000000}">
      <text>
        <r>
          <rPr>
            <b/>
            <sz val="9"/>
            <color indexed="81"/>
            <rFont val="Tahoma"/>
            <family val="2"/>
          </rPr>
          <t>Change in customer traffic year-on-year
" year-on-year customer retention"
Findings:</t>
        </r>
        <r>
          <rPr>
            <sz val="9"/>
            <color indexed="81"/>
            <rFont val="Tahoma"/>
            <family val="2"/>
          </rPr>
          <t xml:space="preserve">
* There has been a 2% increase in customer traffic on the previous 12 months.
</t>
        </r>
        <r>
          <rPr>
            <b/>
            <sz val="9"/>
            <color indexed="81"/>
            <rFont val="Tahoma"/>
            <family val="2"/>
          </rPr>
          <t>Interpretations:</t>
        </r>
        <r>
          <rPr>
            <sz val="9"/>
            <color indexed="81"/>
            <rFont val="Tahoma"/>
            <family val="2"/>
          </rPr>
          <t xml:space="preserve">
* This result is on par with the cohort average of a 2% increase and in the middle three quintiles of cohort range.
* Determine the degree to which this increase is due to factors extraneous to this report.
</t>
        </r>
        <r>
          <rPr>
            <b/>
            <sz val="9"/>
            <color indexed="81"/>
            <rFont val="Tahoma"/>
            <family val="2"/>
          </rPr>
          <t>Recommendations:</t>
        </r>
        <r>
          <rPr>
            <sz val="9"/>
            <color indexed="81"/>
            <rFont val="Tahoma"/>
            <family val="2"/>
          </rPr>
          <t xml:space="preserve">
* Implement the recommendations to generate word-of-mouth pulling power to bring customers into the pharmacy as a health destination.</t>
        </r>
      </text>
    </comment>
  </commentList>
</comments>
</file>

<file path=xl/sharedStrings.xml><?xml version="1.0" encoding="utf-8"?>
<sst xmlns="http://schemas.openxmlformats.org/spreadsheetml/2006/main" count="995" uniqueCount="189">
  <si>
    <t>P: 0418 519 755</t>
  </si>
  <si>
    <t>Welcome to your Pharmacy Benchmarking Final Report. Please read the following guide before proceeding into the final report itself.</t>
  </si>
  <si>
    <t>1. This report contains 5 pages of information pertaining to your individual report - you will notice these pages along the very bottom of this document</t>
  </si>
  <si>
    <t>USER GUIDE</t>
  </si>
  <si>
    <t>Introduction</t>
  </si>
  <si>
    <t>Workflow analysis</t>
  </si>
  <si>
    <t>Hypothesis for optimum success</t>
  </si>
  <si>
    <t>Change Agenda</t>
  </si>
  <si>
    <t>Please read these in order from left to right - clicking on the next adjacent page when you have completed reading the current page.</t>
  </si>
  <si>
    <r>
      <t xml:space="preserve">Alternatively, you can read through the pages in sequence by clicking on the RED BOX at the </t>
    </r>
    <r>
      <rPr>
        <b/>
        <i/>
        <u/>
        <sz val="9"/>
        <color theme="1"/>
        <rFont val="Calibri"/>
        <family val="2"/>
        <scheme val="minor"/>
      </rPr>
      <t>bottom</t>
    </r>
    <r>
      <rPr>
        <b/>
        <sz val="9"/>
        <color theme="1"/>
        <rFont val="Calibri"/>
        <family val="2"/>
        <scheme val="minor"/>
      </rPr>
      <t xml:space="preserve"> of each page - these will take you to the next page to continue reading</t>
    </r>
  </si>
  <si>
    <t xml:space="preserve">2. In order to print each page, you must: </t>
  </si>
  <si>
    <t>Open the document on the page you wish to print</t>
  </si>
  <si>
    <t>Go to the green "File" tab at the very top of the page</t>
  </si>
  <si>
    <t>Select "Print" and then press the "Print" button.</t>
  </si>
  <si>
    <t xml:space="preserve">All pages are currently set to print out on an A4 sheet of paper in a landscape orientation. </t>
  </si>
  <si>
    <t>This can be changed to A3 if required - please go to "File", "Print", change sheet size setting from "A4" to "A3".</t>
  </si>
  <si>
    <t>The "Benchmarking results" page will print out with all comment box detail appearing at the bottom of the page.</t>
  </si>
  <si>
    <t>Please ensure that you read comment box detail per numbering as described in point 3.1 below</t>
  </si>
  <si>
    <r>
      <rPr>
        <b/>
        <sz val="9"/>
        <color theme="1"/>
        <rFont val="Calibri"/>
        <family val="2"/>
        <scheme val="minor"/>
      </rPr>
      <t xml:space="preserve">ONLY IF </t>
    </r>
    <r>
      <rPr>
        <sz val="9"/>
        <color theme="1"/>
        <rFont val="Calibri"/>
        <family val="2"/>
        <scheme val="minor"/>
      </rPr>
      <t xml:space="preserve">your individual printer settings override those within this document, please ensure that you set the following before </t>
    </r>
  </si>
  <si>
    <r>
      <t>printing the '</t>
    </r>
    <r>
      <rPr>
        <b/>
        <i/>
        <sz val="9"/>
        <color theme="1"/>
        <rFont val="Calibri"/>
        <family val="2"/>
        <scheme val="minor"/>
      </rPr>
      <t>Benchmarking results page</t>
    </r>
    <r>
      <rPr>
        <sz val="9"/>
        <color theme="1"/>
        <rFont val="Calibri"/>
        <family val="2"/>
        <scheme val="minor"/>
      </rPr>
      <t>':</t>
    </r>
  </si>
  <si>
    <t>"File", "Print", "Portrait orientation"</t>
  </si>
  <si>
    <t>"File", "Print", "A4" or "A3"</t>
  </si>
  <si>
    <t>File, "Print", "Margins", "Custom Margins", "left/right", set to '0.3', "top/bottom", set to '0.4'</t>
  </si>
  <si>
    <t>"File", "Print", "Scaling", "Fit all columns on One page"</t>
  </si>
  <si>
    <t>"File", "Print", "Page set up", "Sheet", "Comments", "At end of sheet"</t>
  </si>
  <si>
    <t>All other pages should simply be set to: "File", "Print", "A4"or "A3", "Landscape orientation" &amp; select "Scaling" -"Fit all columns on One Page"</t>
  </si>
  <si>
    <r>
      <t>3. When you access the "</t>
    </r>
    <r>
      <rPr>
        <b/>
        <i/>
        <sz val="9"/>
        <color theme="1"/>
        <rFont val="Calibri"/>
        <family val="2"/>
        <scheme val="minor"/>
      </rPr>
      <t>Benchmarking results</t>
    </r>
    <r>
      <rPr>
        <sz val="9"/>
        <color theme="1"/>
        <rFont val="Calibri"/>
        <family val="2"/>
        <scheme val="minor"/>
      </rPr>
      <t xml:space="preserve">" page below it is </t>
    </r>
    <r>
      <rPr>
        <b/>
        <u/>
        <sz val="9"/>
        <color theme="1"/>
        <rFont val="Calibri"/>
        <family val="2"/>
        <scheme val="minor"/>
      </rPr>
      <t>imperative</t>
    </r>
    <r>
      <rPr>
        <sz val="9"/>
        <color theme="1"/>
        <rFont val="Calibri"/>
        <family val="2"/>
        <scheme val="minor"/>
      </rPr>
      <t xml:space="preserve"> that you:</t>
    </r>
  </si>
  <si>
    <t>Read the report in sequence - down each column and reading columns from left to right</t>
  </si>
  <si>
    <t xml:space="preserve">For each chart and dial there is a detailed comment box containing Findings/Interpretations/Recommendations - </t>
  </si>
  <si>
    <r>
      <t xml:space="preserve">it is important to access </t>
    </r>
    <r>
      <rPr>
        <b/>
        <i/>
        <u/>
        <sz val="9"/>
        <color theme="1"/>
        <rFont val="Calibri"/>
        <family val="2"/>
        <scheme val="minor"/>
      </rPr>
      <t>each box</t>
    </r>
    <r>
      <rPr>
        <i/>
        <u/>
        <sz val="9"/>
        <color theme="1"/>
        <rFont val="Calibri"/>
        <family val="2"/>
        <scheme val="minor"/>
      </rPr>
      <t xml:space="preserve"> </t>
    </r>
    <r>
      <rPr>
        <sz val="9"/>
        <color theme="1"/>
        <rFont val="Calibri"/>
        <family val="2"/>
        <scheme val="minor"/>
      </rPr>
      <t xml:space="preserve">and read the </t>
    </r>
    <r>
      <rPr>
        <b/>
        <u/>
        <sz val="9"/>
        <color theme="1"/>
        <rFont val="Calibri"/>
        <family val="2"/>
        <scheme val="minor"/>
      </rPr>
      <t>contents therein</t>
    </r>
    <r>
      <rPr>
        <sz val="9"/>
        <color theme="1"/>
        <rFont val="Calibri"/>
        <family val="2"/>
        <scheme val="minor"/>
      </rPr>
      <t>.</t>
    </r>
  </si>
  <si>
    <r>
      <t>To access the comment boxes (which appear as a small</t>
    </r>
    <r>
      <rPr>
        <b/>
        <sz val="9"/>
        <color rgb="FFFF0000"/>
        <rFont val="Calibri"/>
        <family val="2"/>
        <scheme val="minor"/>
      </rPr>
      <t xml:space="preserve"> red triangle </t>
    </r>
    <r>
      <rPr>
        <sz val="9"/>
        <color theme="1"/>
        <rFont val="Calibri"/>
        <family val="2"/>
        <scheme val="minor"/>
      </rPr>
      <t>NEXT to each subheading) you must hover your mouse over the triangle.</t>
    </r>
  </si>
  <si>
    <t>** Please note: While every effort has been made to pre-set all of the print settings for each page in this document,</t>
  </si>
  <si>
    <t>individual computer print settings may override these. The above instructions are to be used as a guide to assist in re-setting.</t>
  </si>
  <si>
    <t>Steps may vary slightly depending on individual computer software versions.</t>
  </si>
  <si>
    <t>NB: To access Findings/Interpretations /Recommendations for each metric, please hover the mouse over each red triangle adjacent to each heading box</t>
  </si>
  <si>
    <t xml:space="preserve">Consider seeking expert advice in support of the "total hosting -&gt; complete solution" visit experience service model, regarding the key structural elements of the serving counters &amp; professional services area, such as:
- physical configuration
- people/ location accountabilities
- process and traffic flows
- product co- and re- locations
</t>
  </si>
  <si>
    <t>Capitalise on customers who remain in the dispensary with increased engagement</t>
  </si>
  <si>
    <t>Capitalise on OTC customers with increased engagement</t>
  </si>
  <si>
    <t>Invest counselling time with each customer visit while engaging them to promote a proactive approach to their health and medicines</t>
  </si>
  <si>
    <t>…script customer proactive medicines counsel to increase from ratio of 46% to upper quintile of 64% in 6 months</t>
  </si>
  <si>
    <t>Optimise sales by fostering appropriate solution sales catering to the customer's health needs</t>
  </si>
  <si>
    <t>Increase companion products and services recommendations</t>
  </si>
  <si>
    <t xml:space="preserve">Increase companion products and services recommendations </t>
  </si>
  <si>
    <t xml:space="preserve"> Rescore progressively through implementation and at least annually to benchmark improvement over time vs targets, and against the cohort.</t>
  </si>
  <si>
    <t>M.1 - Script customer visit retention</t>
  </si>
  <si>
    <t>Pharmacy</t>
  </si>
  <si>
    <t>Score</t>
  </si>
  <si>
    <t>Overall Average</t>
  </si>
  <si>
    <t>Max</t>
  </si>
  <si>
    <t>Min</t>
  </si>
  <si>
    <t>Higher</t>
  </si>
  <si>
    <t>Lower</t>
  </si>
  <si>
    <t>M.2 - Script customer visit and engagement duration</t>
  </si>
  <si>
    <t>Engaged</t>
  </si>
  <si>
    <t>Disengaged</t>
  </si>
  <si>
    <t>Cohort</t>
  </si>
  <si>
    <t>M.3 - Script customer engagement effectiveness</t>
  </si>
  <si>
    <t>PSS</t>
  </si>
  <si>
    <t>PHC</t>
  </si>
  <si>
    <t>PMC</t>
  </si>
  <si>
    <t>RC</t>
  </si>
  <si>
    <t>VN</t>
  </si>
  <si>
    <t>M.4 - Script customer disengagement split</t>
  </si>
  <si>
    <t>Queuing</t>
  </si>
  <si>
    <t>Waiting</t>
  </si>
  <si>
    <t>M.5 - Script customer proactive medicines counsel</t>
  </si>
  <si>
    <t>Interval</t>
  </si>
  <si>
    <t>M.6 - Script customer proactive health &amp; proactive solution selling</t>
  </si>
  <si>
    <t>M.7 - Script customer proactive medicines counsel ratio</t>
  </si>
  <si>
    <t>M.8</t>
  </si>
  <si>
    <t>NO LONGER BEING REPORTED WITH A DIAL IN THE REPORT</t>
  </si>
  <si>
    <t>M.9 - OTC customer visit and engagement duration</t>
  </si>
  <si>
    <t xml:space="preserve">M.10 - OTC customer engagement effectiveness </t>
  </si>
  <si>
    <t>M.11 - OTC customer disengagement split</t>
  </si>
  <si>
    <t>M.12 - OTC customer proactive medicines counsel</t>
  </si>
  <si>
    <t>M.13 - OTC customer proactive health &amp; proactive solution selling</t>
  </si>
  <si>
    <t>M.14 - OTC customer proactive medicines counsel ratio</t>
  </si>
  <si>
    <t>M.15 - Script customer add-on medicines ratio</t>
  </si>
  <si>
    <t>M.16 - OTC customer add-on medicines ratio</t>
  </si>
  <si>
    <t xml:space="preserve">M.17 - Meds Checks "Number of Meds Checks per month" </t>
  </si>
  <si>
    <t xml:space="preserve">M.18 - Interventions ratio "Number of interventions per 100K script items" </t>
  </si>
  <si>
    <t>M.19 - Script processing efficiency split</t>
  </si>
  <si>
    <t>Black</t>
  </si>
  <si>
    <t>White</t>
  </si>
  <si>
    <t>M.20 - Script re-handling ratio per customer</t>
  </si>
  <si>
    <t>M.21 - Team tasking by proportional representation - script customers</t>
  </si>
  <si>
    <t>Script out</t>
  </si>
  <si>
    <t>Proactive counsel</t>
  </si>
  <si>
    <t>Script processing</t>
  </si>
  <si>
    <t>Cx eng during script process</t>
  </si>
  <si>
    <t>Script in</t>
  </si>
  <si>
    <t>Pharm</t>
  </si>
  <si>
    <t>Tech</t>
  </si>
  <si>
    <t>Other</t>
  </si>
  <si>
    <t>Student (pre reg)</t>
  </si>
  <si>
    <t>M.22 - Team tasking by proportional representation - OTC customers</t>
  </si>
  <si>
    <t>M.23 - Pharmacist % forward orientation score</t>
  </si>
  <si>
    <t>M.24 - # FTE staff to process 100K script items "dispensary resourcing level"</t>
  </si>
  <si>
    <t>M.25 - % breakdown of staffing levels by role type "dispensary resourcing mix"</t>
  </si>
  <si>
    <t>M.26-A - $ sales in health categories per script customer transaction over 12 months "health customer sales effectiveness ratio - value"</t>
  </si>
  <si>
    <t>M.27 - Change in script item volume year-on-year " year-on-year script customer retention "</t>
  </si>
  <si>
    <t>M.28 - Change in customer traffic year-on-year " year-on-year customer retention"</t>
  </si>
  <si>
    <t>M.29 - # script items per man-hour worked by the dispensary team "script production efficiency"</t>
  </si>
  <si>
    <t>M.30 - Labour cost per script item "script production cost effectiveness"</t>
  </si>
  <si>
    <t>M.26-B - # items sold in health categories per script customer transaction "health customer sales effectiveness ratio - volume"</t>
  </si>
  <si>
    <t>M.26-C - Average price per health category item sold</t>
  </si>
  <si>
    <t xml:space="preserve">DAA PATIENTS - "# DAA patients per 100K script customer transactions" </t>
  </si>
  <si>
    <t>M.19-A - Script processing efficiency</t>
  </si>
  <si>
    <t>M.31</t>
  </si>
  <si>
    <t>M.32</t>
  </si>
  <si>
    <t>M.33</t>
  </si>
  <si>
    <t>Queuing  (pre-engagement)</t>
  </si>
  <si>
    <t>Waiting (post-engagement)</t>
  </si>
  <si>
    <t>Queuing (pre-engagement)</t>
  </si>
  <si>
    <t>M.34</t>
  </si>
  <si>
    <t>M.35</t>
  </si>
  <si>
    <t>M.36</t>
  </si>
  <si>
    <t>M.37</t>
  </si>
  <si>
    <t>M.38</t>
  </si>
  <si>
    <t>Triangular</t>
  </si>
  <si>
    <t>First</t>
  </si>
  <si>
    <t>Percent (0.00%)</t>
  </si>
  <si>
    <t>Arial,8</t>
  </si>
  <si>
    <t>M.1</t>
  </si>
  <si>
    <t>Semi-circular top half only</t>
  </si>
  <si>
    <t>Calibri</t>
  </si>
  <si>
    <t>Circular - bevelled</t>
  </si>
  <si>
    <t>Diagonal right</t>
  </si>
  <si>
    <t>Inside bands</t>
  </si>
  <si>
    <t>0</t>
  </si>
  <si>
    <t>Mid</t>
  </si>
  <si>
    <t>Arial, 8, 0</t>
  </si>
  <si>
    <t>M.7</t>
  </si>
  <si>
    <t>Top</t>
  </si>
  <si>
    <t>Minutes and seconds (mm:ss)</t>
  </si>
  <si>
    <t>M.5</t>
  </si>
  <si>
    <t>M.14</t>
  </si>
  <si>
    <t>M.15</t>
  </si>
  <si>
    <t>Accounting (#,##0.00)</t>
  </si>
  <si>
    <t>M.16</t>
  </si>
  <si>
    <t>M.17</t>
  </si>
  <si>
    <t>M.18</t>
  </si>
  <si>
    <t>M.20</t>
  </si>
  <si>
    <t>M.23</t>
  </si>
  <si>
    <t>M.24</t>
  </si>
  <si>
    <t>M.26</t>
  </si>
  <si>
    <t>Currency ($#,##0.00)</t>
  </si>
  <si>
    <t>M.27</t>
  </si>
  <si>
    <t>Arial</t>
  </si>
  <si>
    <t>M.28</t>
  </si>
  <si>
    <t>M.29</t>
  </si>
  <si>
    <t>M.30</t>
  </si>
  <si>
    <t>M.6</t>
  </si>
  <si>
    <t>M.12</t>
  </si>
  <si>
    <t>M.13</t>
  </si>
  <si>
    <t>M.26B</t>
  </si>
  <si>
    <t>M.26C</t>
  </si>
  <si>
    <t>DAA</t>
  </si>
  <si>
    <t>M.19A</t>
  </si>
  <si>
    <t>M.37copy</t>
  </si>
  <si>
    <t>M.15copy</t>
  </si>
  <si>
    <t>M.16copy</t>
  </si>
  <si>
    <t>MHN</t>
  </si>
  <si>
    <t>Consider seeking expert advice in support of the "total hosting -&gt; complete solution" visit experience service model, in regards to the suggestion of over-resourcing</t>
  </si>
  <si>
    <t>Consider seeking expert advice in regards to the suggestion of re-balancing the dispensary team mix with more Pharmacist representation</t>
  </si>
  <si>
    <t>Consider seeking expert advice in regards to the suggestion of increasing Pharmacist &amp; Pre-reg representation at OTC</t>
  </si>
  <si>
    <t>Increase forward orientation of pharmacists from 36% to upper quintile of 66%, in 6 months</t>
  </si>
  <si>
    <t>...script customer engagement time to increase from 2m 12s to clearly above cohort average 2m 14s, in 6 months</t>
  </si>
  <si>
    <t>…waiting time for script customers to decrease from 3m 39s to below cohort average                            2m 27s, in 6 months</t>
  </si>
  <si>
    <t>…script customer disengagement time to decrease from 3m 49s to below cohort average                2m 41s, via further conversion to engaged time, in 6 months</t>
  </si>
  <si>
    <t>…script customer proactive health counsel time to increase from 1s to above cohort average 11s, in 6 months</t>
  </si>
  <si>
    <t>Optimise appropriate solution selling catering to the customer's health needs</t>
  </si>
  <si>
    <t>…script proactive solution selling time to increase from 1s to above cohort average 8s,              in 6 months</t>
  </si>
  <si>
    <t>…interventionary activity to increase from 662 to upper quintile 3049 per 100K script items, in 6 months</t>
  </si>
  <si>
    <t>…script add-on items sold per 100 customers to increase from 20.3 to upper quintile of 43.7, in 6 months</t>
  </si>
  <si>
    <t>… DAA patient ratio to increase from 175 per 100K script transactions to upper quintile of 313, in 6 months</t>
  </si>
  <si>
    <t>...OTC customer engagement time to increase from 1m 34s to above cohort average 1m 49s, in 6 months</t>
  </si>
  <si>
    <t>…OTC customer disengagement time to decrease from 1min 42s to below cohort average 27s, via further conversion to engaged time, in 6 months</t>
  </si>
  <si>
    <t>…waiting time for OTC customers to decrease from 1min 42s to below cohort average 20s, in 6 months</t>
  </si>
  <si>
    <t>…OTC customer proactive health counsel time to increase from 1s to above cohort average 11s, in 6 months</t>
  </si>
  <si>
    <t>…OTC customer proactive medicines counsel to increase from ratio of 44% to upper quintile of 72% in 6 months</t>
  </si>
  <si>
    <t>…OTC proactive solution selling time to increase from 1s to above cohort average 8s, in 6 months</t>
  </si>
  <si>
    <t>…OTC items sold per 100 customers to increase from 111.9 to upper quintile of 133.3, in 6 months</t>
  </si>
  <si>
    <r>
      <rPr>
        <b/>
        <sz val="11"/>
        <color rgb="FF002060"/>
        <rFont val="Calibri"/>
        <family val="2"/>
        <scheme val="minor"/>
      </rPr>
      <t>Increase non-script health category sales from current $17.28 per script customer transaction to a target of $24.16
 (ie 1/2 of the gap to the upper quintile boundary), in next 12 months</t>
    </r>
    <r>
      <rPr>
        <b/>
        <sz val="12"/>
        <color rgb="FF002060"/>
        <rFont val="Calibri"/>
        <family val="2"/>
        <scheme val="minor"/>
      </rPr>
      <t xml:space="preserve"> </t>
    </r>
    <r>
      <rPr>
        <b/>
        <sz val="12"/>
        <color theme="4" tint="-0.499984740745262"/>
        <rFont val="Calibri"/>
        <family val="2"/>
        <scheme val="minor"/>
      </rPr>
      <t xml:space="preserve">            </t>
    </r>
    <r>
      <rPr>
        <b/>
        <i/>
        <sz val="14"/>
        <color rgb="FFFF0000"/>
        <rFont val="Calibri"/>
        <family val="2"/>
        <scheme val="minor"/>
      </rPr>
      <t xml:space="preserve">
Successful implementation of these improvements has the potential to yield an extra c$6.88 margin across current c28,000 health customer transactions pa = $192K in margin annualised (c 24% increase over current non-script health category sales)
</t>
    </r>
  </si>
  <si>
    <t>- At script out counter, customers are most commonly served by total white coats, and neither are driving counter conversations that convert to above cohort average add-on sales volume 
- At OTC, customers are most commonly served by non-pharmacists, and neither are driving counter conversations that convert to above cohort average add-on sales volume
- Total volume (OTC/script add ons &amp; mid-store) is below cohort average, reflecting the under-performance of conversations converting to add on sales at all counters, as well as self-selection and/ or conversations out on the floor/gondolas
- Average price (OTC/script add ons &amp; mid-store) is above cohort average
- Total health sales value (OTC/script add ons &amp; mid-store) is below cohort average, suggesting that the below cohort average sales volume more than offsets the above cohort average total price per item sold.
- To increase health sales value, improve mid-store appeal to create opportunities for maximising self-selection whilst increasing engagement effectiveness with customers out on the floor/gondolas
- Also, to increase health sales value, increase Pharmacist representation at OTC and script counters, and increase their proactive health counsel time and proactive solution selling time to increase staff-driven sales at all health customer service counters – script in, out and OTC.
- Also, to increase health sales value, increase proactive health counsel time clearly above cohort average at both script &amp; OTC counters, and ensure proactive solution selling techniques are optimised to achieve better conversion of counsel to staff-driven sales at all health customer service counters - script in, out and OTC.</t>
  </si>
  <si>
    <t>Benchmarking results pages - P1 through P7</t>
  </si>
  <si>
    <t>Blue needle = PHX   Red Needle = Cohort Av.</t>
  </si>
  <si>
    <t>Blue needle = PHX   Red needle = Cohort Av.</t>
  </si>
  <si>
    <t>Blue needle = PHX   Red needle = Cohort 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</si>
</sst>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_);\(&quot;$&quot;#,##0.00\)"/>
    <numFmt numFmtId="165" formatCode="h:mm:ss;@"/>
    <numFmt numFmtId="166" formatCode="[$$-409]#,##0.00"/>
    <numFmt numFmtId="167" formatCode="0.0"/>
    <numFmt numFmtId="168" formatCode="[$$-409]#,##0"/>
  </numFmts>
  <fonts count="56" x14ac:knownFonts="1">
    <font>
      <sz val="8"/>
      <color rgb="FF000000"/>
      <name val="Arial"/>
      <family val="2"/>
    </font>
    <font>
      <sz val="11"/>
      <color theme="1"/>
      <name val="Calibri"/>
      <family val="2"/>
      <scheme val="minor"/>
    </font>
    <font>
      <sz val="11"/>
      <color theme="1"/>
      <name val="Tahoma"/>
      <family val="2"/>
    </font>
    <font>
      <b/>
      <u/>
      <sz val="11"/>
      <color theme="1"/>
      <name val="Tahoma"/>
      <family val="2"/>
    </font>
    <font>
      <u/>
      <sz val="11"/>
      <color theme="1"/>
      <name val="Tahoma"/>
      <family val="2"/>
    </font>
    <font>
      <sz val="11"/>
      <color theme="1"/>
      <name val="Calibri"/>
      <family val="2"/>
      <scheme val="minor"/>
    </font>
    <font>
      <sz val="10"/>
      <name val="Arial"/>
      <family val="2"/>
    </font>
    <font>
      <sz val="10"/>
      <name val="Arial"/>
      <family val="2"/>
    </font>
    <font>
      <sz val="11"/>
      <color indexed="17"/>
      <name val="Calibri"/>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0"/>
      <name val="Arial"/>
      <family val="2"/>
    </font>
    <font>
      <b/>
      <sz val="16"/>
      <color rgb="FF002060"/>
      <name val="Calibri"/>
      <family val="2"/>
      <scheme val="minor"/>
    </font>
    <font>
      <b/>
      <sz val="11"/>
      <color rgb="FF002060"/>
      <name val="Calibri"/>
      <family val="2"/>
      <scheme val="minor"/>
    </font>
    <font>
      <b/>
      <i/>
      <sz val="11"/>
      <color rgb="FF002060"/>
      <name val="Calibri"/>
      <family val="2"/>
      <scheme val="minor"/>
    </font>
    <font>
      <sz val="10"/>
      <name val="Arial"/>
      <family val="2"/>
    </font>
    <font>
      <sz val="11"/>
      <color rgb="FFFF0000"/>
      <name val="Calibri"/>
      <family val="2"/>
      <scheme val="minor"/>
    </font>
    <font>
      <u/>
      <sz val="11"/>
      <color theme="1"/>
      <name val="Calibri"/>
      <family val="2"/>
      <scheme val="minor"/>
    </font>
    <font>
      <sz val="9"/>
      <color theme="1"/>
      <name val="Calibri"/>
      <family val="2"/>
      <scheme val="minor"/>
    </font>
    <font>
      <sz val="11"/>
      <name val="Calibri"/>
      <family val="2"/>
      <scheme val="minor"/>
    </font>
    <font>
      <b/>
      <sz val="9"/>
      <color theme="1"/>
      <name val="Calibri"/>
      <family val="2"/>
      <scheme val="minor"/>
    </font>
    <font>
      <b/>
      <i/>
      <u/>
      <sz val="9"/>
      <color theme="1"/>
      <name val="Calibri"/>
      <family val="2"/>
      <scheme val="minor"/>
    </font>
    <font>
      <b/>
      <i/>
      <sz val="9"/>
      <color theme="1"/>
      <name val="Calibri"/>
      <family val="2"/>
      <scheme val="minor"/>
    </font>
    <font>
      <b/>
      <u/>
      <sz val="9"/>
      <color theme="1"/>
      <name val="Calibri"/>
      <family val="2"/>
      <scheme val="minor"/>
    </font>
    <font>
      <i/>
      <u/>
      <sz val="9"/>
      <color theme="1"/>
      <name val="Calibri"/>
      <family val="2"/>
      <scheme val="minor"/>
    </font>
    <font>
      <b/>
      <sz val="9"/>
      <color rgb="FFFF0000"/>
      <name val="Calibri"/>
      <family val="2"/>
      <scheme val="minor"/>
    </font>
    <font>
      <b/>
      <sz val="8"/>
      <color indexed="81"/>
      <name val="Tahoma"/>
      <family val="2"/>
    </font>
    <font>
      <sz val="8"/>
      <color indexed="81"/>
      <name val="Tahoma"/>
      <family val="2"/>
    </font>
    <font>
      <b/>
      <u/>
      <sz val="9"/>
      <name val="Calibri"/>
      <family val="2"/>
      <scheme val="minor"/>
    </font>
    <font>
      <sz val="9"/>
      <name val="Calibri"/>
      <family val="2"/>
      <scheme val="minor"/>
    </font>
    <font>
      <b/>
      <sz val="7.5"/>
      <color theme="4" tint="-0.499984740745262"/>
      <name val="Calibri"/>
      <family val="2"/>
      <scheme val="minor"/>
    </font>
    <font>
      <b/>
      <sz val="11"/>
      <color theme="0"/>
      <name val="Calibri"/>
      <family val="2"/>
      <scheme val="minor"/>
    </font>
    <font>
      <sz val="11"/>
      <color theme="0"/>
      <name val="Calibri"/>
      <family val="2"/>
      <scheme val="minor"/>
    </font>
    <font>
      <sz val="11"/>
      <color rgb="FF000000"/>
      <name val="Calibri"/>
      <family val="2"/>
      <scheme val="minor"/>
    </font>
    <font>
      <sz val="11"/>
      <color rgb="FF000000"/>
      <name val="Calibri"/>
      <family val="2"/>
    </font>
    <font>
      <b/>
      <sz val="9"/>
      <color rgb="FF002060"/>
      <name val="Calibri"/>
      <family val="2"/>
      <scheme val="minor"/>
    </font>
    <font>
      <sz val="7"/>
      <color rgb="FF002060"/>
      <name val="Calibri"/>
      <family val="2"/>
      <scheme val="minor"/>
    </font>
    <font>
      <b/>
      <sz val="7.5"/>
      <color theme="4" tint="-0.499984740745262"/>
      <name val="Verdana"/>
      <family val="2"/>
    </font>
    <font>
      <u/>
      <sz val="8"/>
      <color theme="10"/>
      <name val="Arial"/>
      <family val="2"/>
    </font>
    <font>
      <u/>
      <sz val="8"/>
      <color theme="11"/>
      <name val="Arial"/>
      <family val="2"/>
    </font>
    <font>
      <u/>
      <sz val="9"/>
      <color theme="10"/>
      <name val="Calibri"/>
      <family val="2"/>
    </font>
    <font>
      <u/>
      <sz val="9"/>
      <color theme="11"/>
      <name val="Calibri"/>
      <family val="2"/>
    </font>
    <font>
      <b/>
      <sz val="11"/>
      <color rgb="FF002060"/>
      <name val="Calibri"/>
      <family val="2"/>
    </font>
    <font>
      <b/>
      <i/>
      <sz val="11"/>
      <color rgb="FF002060"/>
      <name val="Calibri"/>
      <family val="2"/>
    </font>
    <font>
      <b/>
      <sz val="11"/>
      <color rgb="FFFF0000"/>
      <name val="Calibri"/>
      <family val="2"/>
      <scheme val="minor"/>
    </font>
    <font>
      <b/>
      <i/>
      <sz val="14"/>
      <color rgb="FFFF0000"/>
      <name val="Calibri"/>
      <family val="2"/>
      <scheme val="minor"/>
    </font>
    <font>
      <b/>
      <sz val="12"/>
      <color theme="4" tint="-0.499984740745262"/>
      <name val="Calibri"/>
      <family val="2"/>
      <scheme val="minor"/>
    </font>
    <font>
      <b/>
      <sz val="12"/>
      <color rgb="FF002060"/>
      <name val="Calibri"/>
      <family val="2"/>
      <scheme val="minor"/>
    </font>
    <font>
      <i/>
      <sz val="10"/>
      <color theme="1"/>
      <name val="Calibri"/>
      <family val="2"/>
      <scheme val="minor"/>
    </font>
    <font>
      <sz val="9"/>
      <color rgb="FF000000"/>
      <name val="Tahoma"/>
      <family val="2"/>
    </font>
    <font>
      <b/>
      <sz val="9"/>
      <color rgb="FF000000"/>
      <name val="Tahoma"/>
      <family val="2"/>
    </font>
    <font>
      <sz val="7"/>
      <color rgb="FF000000"/>
      <name val="Calibri"/>
      <family val="2"/>
      <scheme val="minor"/>
    </font>
    <font>
      <sz val="10"/>
      <color rgb="FF000000"/>
      <name val="Calibri"/>
      <family val="2"/>
    </font>
  </fonts>
  <fills count="12">
    <fill>
      <patternFill patternType="none"/>
    </fill>
    <fill>
      <patternFill patternType="gray125"/>
    </fill>
    <fill>
      <patternFill patternType="solid">
        <fgColor indexed="42"/>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4" tint="0.39997558519241921"/>
        <bgColor indexed="64"/>
      </patternFill>
    </fill>
    <fill>
      <patternFill patternType="solid">
        <fgColor theme="0"/>
        <bgColor indexed="64"/>
      </patternFill>
    </fill>
    <fill>
      <patternFill patternType="solid">
        <fgColor theme="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DDD9C4"/>
        <bgColor rgb="FF000000"/>
      </patternFill>
    </fill>
  </fills>
  <borders count="21">
    <border>
      <left/>
      <right/>
      <top/>
      <bottom/>
      <diagonal/>
    </border>
    <border>
      <left style="medium">
        <color theme="4" tint="-0.249977111117893"/>
      </left>
      <right/>
      <top style="medium">
        <color theme="4" tint="-0.249977111117893"/>
      </top>
      <bottom/>
      <diagonal/>
    </border>
    <border>
      <left/>
      <right style="medium">
        <color theme="4" tint="-0.249977111117893"/>
      </right>
      <top style="medium">
        <color theme="4" tint="-0.249977111117893"/>
      </top>
      <bottom/>
      <diagonal/>
    </border>
    <border>
      <left style="medium">
        <color theme="4" tint="-0.249977111117893"/>
      </left>
      <right/>
      <top/>
      <bottom style="medium">
        <color theme="4" tint="-0.249977111117893"/>
      </bottom>
      <diagonal/>
    </border>
    <border>
      <left/>
      <right style="medium">
        <color theme="4" tint="-0.249977111117893"/>
      </right>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5">
    <xf numFmtId="0" fontId="0" fillId="0" borderId="0"/>
    <xf numFmtId="0" fontId="7" fillId="0" borderId="0"/>
    <xf numFmtId="0" fontId="8" fillId="2" borderId="0" applyNumberFormat="0" applyBorder="0" applyAlignment="0" applyProtection="0"/>
    <xf numFmtId="0" fontId="5" fillId="0" borderId="0"/>
    <xf numFmtId="9" fontId="6" fillId="0" borderId="0" applyFont="0" applyFill="0" applyBorder="0" applyAlignment="0" applyProtection="0"/>
    <xf numFmtId="0" fontId="11" fillId="0" borderId="0"/>
    <xf numFmtId="0" fontId="12" fillId="0" borderId="0"/>
    <xf numFmtId="0" fontId="13" fillId="0" borderId="0"/>
    <xf numFmtId="0" fontId="14" fillId="0" borderId="0"/>
    <xf numFmtId="0" fontId="18" fillId="0" borderId="0"/>
    <xf numFmtId="0" fontId="6" fillId="0" borderId="0"/>
    <xf numFmtId="0" fontId="5" fillId="0" borderId="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55" fillId="0" borderId="0"/>
  </cellStyleXfs>
  <cellXfs count="129">
    <xf numFmtId="0" fontId="0" fillId="0" borderId="0" xfId="0"/>
    <xf numFmtId="0" fontId="0" fillId="3" borderId="0" xfId="0" applyFill="1"/>
    <xf numFmtId="0" fontId="15" fillId="3" borderId="0" xfId="0" applyFont="1" applyFill="1"/>
    <xf numFmtId="0" fontId="0" fillId="3" borderId="0" xfId="0" applyFill="1" applyAlignment="1">
      <alignment horizontal="center"/>
    </xf>
    <xf numFmtId="0" fontId="16" fillId="3" borderId="0" xfId="0" applyFont="1" applyFill="1" applyAlignment="1">
      <alignment horizontal="center"/>
    </xf>
    <xf numFmtId="0" fontId="20" fillId="3" borderId="0" xfId="0" applyFont="1" applyFill="1"/>
    <xf numFmtId="0" fontId="22" fillId="3" borderId="0" xfId="0" applyFont="1" applyFill="1"/>
    <xf numFmtId="0" fontId="31" fillId="3" borderId="0" xfId="0" applyFont="1" applyFill="1" applyAlignment="1">
      <alignment horizontal="center" vertical="center"/>
    </xf>
    <xf numFmtId="0" fontId="32" fillId="3" borderId="0" xfId="0" applyFont="1" applyFill="1"/>
    <xf numFmtId="0" fontId="32" fillId="3" borderId="0" xfId="0" applyFont="1" applyFill="1" applyAlignment="1">
      <alignment horizontal="left" vertical="center"/>
    </xf>
    <xf numFmtId="0" fontId="33" fillId="3" borderId="0" xfId="0" applyFont="1" applyFill="1"/>
    <xf numFmtId="0" fontId="35" fillId="7" borderId="0" xfId="0" applyFont="1" applyFill="1"/>
    <xf numFmtId="0" fontId="34" fillId="7" borderId="0" xfId="0" applyFont="1" applyFill="1"/>
    <xf numFmtId="9" fontId="0" fillId="0" borderId="0" xfId="0" applyNumberFormat="1"/>
    <xf numFmtId="0" fontId="37" fillId="0" borderId="0" xfId="0" applyFont="1"/>
    <xf numFmtId="9" fontId="37" fillId="0" borderId="0" xfId="0" applyNumberFormat="1" applyFont="1"/>
    <xf numFmtId="0" fontId="37" fillId="8" borderId="0" xfId="0" applyFont="1" applyFill="1"/>
    <xf numFmtId="9" fontId="1" fillId="0" borderId="0" xfId="3" applyNumberFormat="1" applyFont="1"/>
    <xf numFmtId="0" fontId="1" fillId="0" borderId="0" xfId="3" applyFont="1"/>
    <xf numFmtId="0" fontId="19" fillId="0" borderId="0" xfId="3" applyFont="1"/>
    <xf numFmtId="0" fontId="1" fillId="3" borderId="0" xfId="0" applyFont="1" applyFill="1" applyAlignment="1">
      <alignment vertical="center"/>
    </xf>
    <xf numFmtId="0" fontId="36" fillId="3" borderId="0" xfId="0" applyFont="1" applyFill="1"/>
    <xf numFmtId="0" fontId="22" fillId="4" borderId="0" xfId="0" applyFont="1" applyFill="1"/>
    <xf numFmtId="0" fontId="36" fillId="0" borderId="0" xfId="0" applyFont="1"/>
    <xf numFmtId="0" fontId="22" fillId="0" borderId="0" xfId="0" applyFont="1"/>
    <xf numFmtId="45" fontId="36" fillId="0" borderId="0" xfId="0" applyNumberFormat="1" applyFont="1"/>
    <xf numFmtId="0" fontId="22" fillId="0" borderId="0" xfId="3" applyFont="1"/>
    <xf numFmtId="165" fontId="36" fillId="0" borderId="0" xfId="0" applyNumberFormat="1" applyFont="1" applyAlignment="1">
      <alignment horizontal="left"/>
    </xf>
    <xf numFmtId="10" fontId="37" fillId="0" borderId="0" xfId="0" applyNumberFormat="1" applyFont="1"/>
    <xf numFmtId="2" fontId="37" fillId="0" borderId="0" xfId="0" applyNumberFormat="1" applyFont="1"/>
    <xf numFmtId="10" fontId="0" fillId="0" borderId="0" xfId="0" applyNumberFormat="1"/>
    <xf numFmtId="2" fontId="0" fillId="0" borderId="0" xfId="0" applyNumberFormat="1"/>
    <xf numFmtId="164" fontId="0" fillId="0" borderId="0" xfId="0" applyNumberFormat="1"/>
    <xf numFmtId="45" fontId="1" fillId="0" borderId="0" xfId="3" applyNumberFormat="1" applyFont="1"/>
    <xf numFmtId="0" fontId="36" fillId="9" borderId="0" xfId="0" applyFont="1" applyFill="1"/>
    <xf numFmtId="0" fontId="37" fillId="9" borderId="0" xfId="0" applyFont="1" applyFill="1"/>
    <xf numFmtId="45" fontId="37" fillId="0" borderId="0" xfId="0" applyNumberFormat="1" applyFont="1"/>
    <xf numFmtId="21" fontId="0" fillId="0" borderId="0" xfId="0" applyNumberFormat="1"/>
    <xf numFmtId="0" fontId="36" fillId="10" borderId="0" xfId="0" applyFont="1" applyFill="1"/>
    <xf numFmtId="21" fontId="36" fillId="10" borderId="0" xfId="0" applyNumberFormat="1" applyFont="1" applyFill="1"/>
    <xf numFmtId="0" fontId="21" fillId="3" borderId="0" xfId="0" applyFont="1" applyFill="1"/>
    <xf numFmtId="0" fontId="23" fillId="3" borderId="0" xfId="0" applyFont="1" applyFill="1"/>
    <xf numFmtId="0" fontId="40" fillId="3" borderId="0" xfId="0" applyFont="1" applyFill="1"/>
    <xf numFmtId="166" fontId="37" fillId="0" borderId="0" xfId="0" applyNumberFormat="1" applyFont="1"/>
    <xf numFmtId="0" fontId="17" fillId="3" borderId="0" xfId="0" applyFont="1" applyFill="1" applyAlignment="1">
      <alignment horizontal="left" vertical="top"/>
    </xf>
    <xf numFmtId="0" fontId="16" fillId="3" borderId="0" xfId="0" applyFont="1" applyFill="1" applyAlignment="1">
      <alignment vertical="top" wrapText="1"/>
    </xf>
    <xf numFmtId="0" fontId="47" fillId="3" borderId="0" xfId="0" applyFont="1" applyFill="1"/>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0" fontId="0" fillId="3" borderId="14" xfId="0" applyFill="1" applyBorder="1"/>
    <xf numFmtId="0" fontId="46" fillId="11" borderId="0" xfId="0" applyFont="1" applyFill="1" applyAlignment="1">
      <alignment horizontal="left" vertical="top"/>
    </xf>
    <xf numFmtId="0" fontId="46" fillId="11" borderId="14" xfId="0" applyFont="1" applyFill="1" applyBorder="1" applyAlignment="1">
      <alignment horizontal="left" vertical="top"/>
    </xf>
    <xf numFmtId="0" fontId="16" fillId="3" borderId="14" xfId="0" applyFont="1" applyFill="1" applyBorder="1" applyAlignment="1">
      <alignment vertical="top" wrapText="1"/>
    </xf>
    <xf numFmtId="0" fontId="0" fillId="3" borderId="15" xfId="0" applyFill="1" applyBorder="1"/>
    <xf numFmtId="0" fontId="0" fillId="3" borderId="16" xfId="0" applyFill="1" applyBorder="1"/>
    <xf numFmtId="0" fontId="17" fillId="3" borderId="16" xfId="0" applyFont="1" applyFill="1" applyBorder="1" applyAlignment="1">
      <alignment vertical="top" wrapText="1"/>
    </xf>
    <xf numFmtId="0" fontId="0" fillId="3" borderId="17" xfId="0" applyFill="1" applyBorder="1"/>
    <xf numFmtId="0" fontId="17" fillId="3" borderId="17" xfId="0" applyFont="1" applyFill="1" applyBorder="1" applyAlignment="1">
      <alignment vertical="top" wrapText="1"/>
    </xf>
    <xf numFmtId="0" fontId="48" fillId="3" borderId="11" xfId="0" applyFont="1" applyFill="1" applyBorder="1" applyAlignment="1">
      <alignment vertical="top" wrapText="1"/>
    </xf>
    <xf numFmtId="0" fontId="17" fillId="3" borderId="0" xfId="0" applyFont="1" applyFill="1" applyAlignment="1">
      <alignment horizontal="center"/>
    </xf>
    <xf numFmtId="0" fontId="0" fillId="3" borderId="14" xfId="0" applyFill="1" applyBorder="1" applyAlignment="1">
      <alignment horizontal="center"/>
    </xf>
    <xf numFmtId="0" fontId="0" fillId="3" borderId="16" xfId="0" applyFill="1" applyBorder="1" applyAlignment="1">
      <alignment horizontal="center"/>
    </xf>
    <xf numFmtId="167" fontId="37" fillId="0" borderId="0" xfId="0" applyNumberFormat="1" applyFont="1"/>
    <xf numFmtId="168" fontId="37" fillId="0" borderId="0" xfId="0" applyNumberFormat="1" applyFont="1"/>
    <xf numFmtId="0" fontId="17" fillId="3" borderId="0" xfId="0" applyFont="1" applyFill="1" applyAlignment="1">
      <alignment horizontal="left" vertical="top" wrapText="1"/>
    </xf>
    <xf numFmtId="0" fontId="51" fillId="3" borderId="0" xfId="0" applyFont="1" applyFill="1"/>
    <xf numFmtId="0" fontId="48" fillId="3" borderId="0" xfId="0" applyFont="1" applyFill="1" applyAlignment="1">
      <alignment vertical="top" wrapText="1"/>
    </xf>
    <xf numFmtId="0" fontId="39" fillId="6" borderId="8" xfId="0" applyFont="1" applyFill="1" applyBorder="1" applyAlignment="1">
      <alignment vertical="center"/>
    </xf>
    <xf numFmtId="0" fontId="39" fillId="6" borderId="9" xfId="0" applyFont="1" applyFill="1" applyBorder="1" applyAlignment="1">
      <alignment vertical="center"/>
    </xf>
    <xf numFmtId="0" fontId="39" fillId="6" borderId="7" xfId="0" applyFont="1" applyFill="1" applyBorder="1" applyAlignment="1">
      <alignment horizontal="left" vertical="center" indent="1"/>
    </xf>
    <xf numFmtId="0" fontId="17" fillId="3" borderId="14" xfId="0" applyFont="1" applyFill="1" applyBorder="1" applyAlignment="1">
      <alignment horizontal="center" vertical="top"/>
    </xf>
    <xf numFmtId="0" fontId="16" fillId="3" borderId="14" xfId="0" applyFont="1" applyFill="1" applyBorder="1" applyAlignment="1">
      <alignment wrapText="1"/>
    </xf>
    <xf numFmtId="0" fontId="46" fillId="11" borderId="0" xfId="0" applyFont="1" applyFill="1" applyAlignment="1">
      <alignment horizontal="center" vertical="top"/>
    </xf>
    <xf numFmtId="0" fontId="46" fillId="11" borderId="14" xfId="0" applyFont="1" applyFill="1" applyBorder="1" applyAlignment="1">
      <alignment horizontal="center" vertical="top"/>
    </xf>
    <xf numFmtId="0" fontId="22" fillId="3" borderId="11" xfId="0" applyFont="1" applyFill="1" applyBorder="1"/>
    <xf numFmtId="0" fontId="22" fillId="3" borderId="12" xfId="0" applyFont="1" applyFill="1" applyBorder="1"/>
    <xf numFmtId="0" fontId="22" fillId="3" borderId="14" xfId="0" applyFont="1" applyFill="1" applyBorder="1"/>
    <xf numFmtId="0" fontId="17" fillId="3" borderId="0" xfId="0" applyFont="1" applyFill="1" applyAlignment="1">
      <alignment vertical="top" wrapText="1"/>
    </xf>
    <xf numFmtId="0" fontId="45" fillId="11" borderId="0" xfId="0" applyFont="1" applyFill="1" applyAlignment="1">
      <alignment horizontal="right" wrapText="1"/>
    </xf>
    <xf numFmtId="0" fontId="46" fillId="11" borderId="0" xfId="0" applyFont="1" applyFill="1" applyAlignment="1">
      <alignment horizontal="right" vertical="top" wrapText="1"/>
    </xf>
    <xf numFmtId="0" fontId="46" fillId="11" borderId="0" xfId="0" applyFont="1" applyFill="1" applyAlignment="1">
      <alignment vertical="top" wrapText="1"/>
    </xf>
    <xf numFmtId="0" fontId="17" fillId="3" borderId="0" xfId="0" applyFont="1" applyFill="1" applyAlignment="1">
      <alignment horizontal="center" vertical="top" wrapText="1"/>
    </xf>
    <xf numFmtId="0" fontId="45" fillId="11" borderId="0" xfId="0" applyFont="1" applyFill="1" applyAlignment="1">
      <alignment horizontal="center" wrapText="1"/>
    </xf>
    <xf numFmtId="0" fontId="16" fillId="3" borderId="0" xfId="0" applyFont="1" applyFill="1" applyAlignment="1">
      <alignment horizontal="center" wrapText="1"/>
    </xf>
    <xf numFmtId="0" fontId="16" fillId="3" borderId="0" xfId="0" applyFont="1" applyFill="1" applyAlignment="1">
      <alignment horizontal="center" vertical="top" wrapText="1"/>
    </xf>
    <xf numFmtId="0" fontId="45" fillId="11" borderId="0" xfId="0" applyFont="1" applyFill="1" applyAlignment="1">
      <alignment horizontal="left" wrapText="1"/>
    </xf>
    <xf numFmtId="0" fontId="16" fillId="3" borderId="14" xfId="0" applyFont="1" applyFill="1" applyBorder="1" applyAlignment="1">
      <alignment horizontal="center" vertical="top" wrapText="1"/>
    </xf>
    <xf numFmtId="0" fontId="48" fillId="3" borderId="0" xfId="0" applyFont="1" applyFill="1" applyAlignment="1">
      <alignment horizontal="center" vertical="top" wrapText="1"/>
    </xf>
    <xf numFmtId="0" fontId="46" fillId="11" borderId="0" xfId="0" applyFont="1" applyFill="1" applyAlignment="1">
      <alignment horizontal="center" vertical="top" wrapText="1"/>
    </xf>
    <xf numFmtId="0" fontId="17" fillId="3" borderId="0" xfId="0" applyFont="1" applyFill="1" applyAlignment="1">
      <alignment horizontal="center" vertical="top"/>
    </xf>
    <xf numFmtId="0" fontId="16" fillId="3" borderId="0" xfId="0" applyFont="1" applyFill="1"/>
    <xf numFmtId="0" fontId="36" fillId="3" borderId="0" xfId="0" applyFont="1" applyFill="1" applyAlignment="1">
      <alignment horizontal="center"/>
    </xf>
    <xf numFmtId="0" fontId="39" fillId="3" borderId="0" xfId="0" applyFont="1" applyFill="1" applyAlignment="1">
      <alignment vertical="center"/>
    </xf>
    <xf numFmtId="0" fontId="2" fillId="3" borderId="0" xfId="34" applyFont="1" applyFill="1"/>
    <xf numFmtId="0" fontId="4" fillId="3" borderId="0" xfId="34" applyFont="1" applyFill="1"/>
    <xf numFmtId="0" fontId="3" fillId="3" borderId="0" xfId="34" applyFont="1" applyFill="1"/>
    <xf numFmtId="0" fontId="38" fillId="5" borderId="1"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8" fillId="5" borderId="4" xfId="0" applyFont="1" applyFill="1" applyBorder="1" applyAlignment="1">
      <alignment horizontal="center" vertical="center" wrapText="1"/>
    </xf>
    <xf numFmtId="0" fontId="39" fillId="6" borderId="7" xfId="0" applyFont="1" applyFill="1" applyBorder="1" applyAlignment="1">
      <alignment horizontal="center" vertical="center"/>
    </xf>
    <xf numFmtId="0" fontId="39" fillId="6" borderId="8" xfId="0" applyFont="1" applyFill="1" applyBorder="1" applyAlignment="1">
      <alignment horizontal="center" vertical="center"/>
    </xf>
    <xf numFmtId="0" fontId="39" fillId="6" borderId="9" xfId="0" applyFont="1" applyFill="1" applyBorder="1" applyAlignment="1">
      <alignment horizontal="center" vertical="center"/>
    </xf>
    <xf numFmtId="0" fontId="39" fillId="6" borderId="18" xfId="0" applyFont="1" applyFill="1" applyBorder="1" applyAlignment="1">
      <alignment horizontal="center" vertical="center"/>
    </xf>
    <xf numFmtId="0" fontId="39" fillId="6" borderId="19" xfId="0" applyFont="1" applyFill="1" applyBorder="1" applyAlignment="1">
      <alignment horizontal="center" vertical="center"/>
    </xf>
    <xf numFmtId="0" fontId="39" fillId="6" borderId="20" xfId="0" applyFont="1" applyFill="1" applyBorder="1" applyAlignment="1">
      <alignment horizontal="center" vertical="center"/>
    </xf>
    <xf numFmtId="0" fontId="54" fillId="6" borderId="18" xfId="0" applyFont="1" applyFill="1" applyBorder="1" applyAlignment="1">
      <alignment horizontal="center"/>
    </xf>
    <xf numFmtId="0" fontId="54" fillId="6" borderId="19" xfId="0" applyFont="1" applyFill="1" applyBorder="1" applyAlignment="1">
      <alignment horizontal="center"/>
    </xf>
    <xf numFmtId="0" fontId="54" fillId="6" borderId="20" xfId="0" applyFont="1" applyFill="1" applyBorder="1" applyAlignment="1">
      <alignment horizontal="center"/>
    </xf>
    <xf numFmtId="0" fontId="16" fillId="3" borderId="13" xfId="0" applyFont="1" applyFill="1" applyBorder="1" applyAlignment="1">
      <alignment horizontal="center" vertical="top" wrapText="1"/>
    </xf>
    <xf numFmtId="0" fontId="16" fillId="3" borderId="0" xfId="0" applyFont="1" applyFill="1" applyAlignment="1">
      <alignment horizontal="center" vertical="top" wrapText="1"/>
    </xf>
    <xf numFmtId="0" fontId="16" fillId="3" borderId="14" xfId="0" applyFont="1" applyFill="1" applyBorder="1" applyAlignment="1">
      <alignment horizontal="center" vertical="top" wrapText="1"/>
    </xf>
    <xf numFmtId="0" fontId="16" fillId="3" borderId="0" xfId="0" quotePrefix="1" applyFont="1" applyFill="1" applyAlignment="1">
      <alignment horizontal="left" vertical="top" wrapText="1"/>
    </xf>
    <xf numFmtId="0" fontId="48" fillId="3" borderId="0" xfId="0" applyFont="1" applyFill="1" applyAlignment="1">
      <alignment horizontal="center" vertical="top" wrapText="1"/>
    </xf>
    <xf numFmtId="0" fontId="46" fillId="11" borderId="0" xfId="0" applyFont="1" applyFill="1" applyAlignment="1">
      <alignment horizontal="center" wrapText="1"/>
    </xf>
    <xf numFmtId="0" fontId="17" fillId="3" borderId="0" xfId="0" applyFont="1" applyFill="1" applyAlignment="1">
      <alignment horizontal="center" vertical="top" wrapText="1"/>
    </xf>
    <xf numFmtId="0" fontId="46" fillId="11" borderId="0" xfId="0" applyFont="1" applyFill="1" applyAlignment="1">
      <alignment horizontal="center" vertical="top" wrapText="1"/>
    </xf>
    <xf numFmtId="0" fontId="16" fillId="3" borderId="0" xfId="0" applyFont="1" applyFill="1" applyAlignment="1">
      <alignment horizontal="center" wrapText="1"/>
    </xf>
    <xf numFmtId="0" fontId="17" fillId="3" borderId="0" xfId="0" applyFont="1" applyFill="1" applyAlignment="1">
      <alignment horizontal="center" vertical="top"/>
    </xf>
    <xf numFmtId="0" fontId="16" fillId="3" borderId="14" xfId="0" applyFont="1" applyFill="1" applyBorder="1" applyAlignment="1">
      <alignment horizontal="center" wrapText="1"/>
    </xf>
    <xf numFmtId="0" fontId="16" fillId="3" borderId="0" xfId="0" applyFont="1" applyFill="1" applyAlignment="1">
      <alignment horizontal="center"/>
    </xf>
    <xf numFmtId="0" fontId="16" fillId="3" borderId="13" xfId="0" applyFont="1" applyFill="1" applyBorder="1" applyAlignment="1">
      <alignment horizontal="center"/>
    </xf>
    <xf numFmtId="0" fontId="16" fillId="3" borderId="14" xfId="0" applyFont="1" applyFill="1" applyBorder="1" applyAlignment="1">
      <alignment horizontal="center"/>
    </xf>
    <xf numFmtId="0" fontId="45" fillId="11" borderId="0" xfId="0" applyFont="1" applyFill="1" applyAlignment="1">
      <alignment horizontal="center" wrapText="1"/>
    </xf>
    <xf numFmtId="0" fontId="45" fillId="11" borderId="0" xfId="0" applyFont="1" applyFill="1" applyAlignment="1">
      <alignment horizontal="center" vertical="top" wrapText="1"/>
    </xf>
  </cellXfs>
  <cellStyles count="35">
    <cellStyle name="Followed Hyperlink" xfId="13" builtinId="9" hidden="1"/>
    <cellStyle name="Followed Hyperlink" xfId="29" builtinId="9" hidden="1"/>
    <cellStyle name="Followed Hyperlink" xfId="31" builtinId="9" hidden="1"/>
    <cellStyle name="Followed Hyperlink" xfId="17" builtinId="9" hidden="1"/>
    <cellStyle name="Followed Hyperlink" xfId="19" builtinId="9" hidden="1"/>
    <cellStyle name="Followed Hyperlink" xfId="15" builtinId="9" hidden="1"/>
    <cellStyle name="Followed Hyperlink" xfId="25" builtinId="9" hidden="1"/>
    <cellStyle name="Followed Hyperlink" xfId="23" builtinId="9" hidden="1"/>
    <cellStyle name="Followed Hyperlink" xfId="27" builtinId="9" hidden="1"/>
    <cellStyle name="Followed Hyperlink" xfId="21" builtinId="9" hidden="1"/>
    <cellStyle name="Followed Hyperlink" xfId="33" builtinId="9" hidden="1"/>
    <cellStyle name="Good 2" xfId="2" xr:uid="{00000000-0005-0000-0000-00000B000000}"/>
    <cellStyle name="Hyperlink" xfId="24" builtinId="8" hidden="1"/>
    <cellStyle name="Hyperlink" xfId="14" builtinId="8" hidden="1"/>
    <cellStyle name="Hyperlink" xfId="16" builtinId="8" hidden="1"/>
    <cellStyle name="Hyperlink" xfId="12" builtinId="8" hidden="1"/>
    <cellStyle name="Hyperlink" xfId="32" builtinId="8" hidden="1"/>
    <cellStyle name="Hyperlink" xfId="18" builtinId="8" hidden="1"/>
    <cellStyle name="Hyperlink" xfId="20" builtinId="8" hidden="1"/>
    <cellStyle name="Hyperlink" xfId="22" builtinId="8" hidden="1"/>
    <cellStyle name="Hyperlink" xfId="28" builtinId="8" hidden="1"/>
    <cellStyle name="Hyperlink" xfId="30" builtinId="8" hidden="1"/>
    <cellStyle name="Hyperlink" xfId="26" builtinId="8" hidden="1"/>
    <cellStyle name="Normal" xfId="0" builtinId="0" customBuiltin="1"/>
    <cellStyle name="Normal 2" xfId="3" xr:uid="{00000000-0005-0000-0000-000018000000}"/>
    <cellStyle name="Normal 2 2" xfId="11" xr:uid="{00000000-0005-0000-0000-000019000000}"/>
    <cellStyle name="Normal 3" xfId="1" xr:uid="{00000000-0005-0000-0000-00001A000000}"/>
    <cellStyle name="Normal 3 2" xfId="10" xr:uid="{00000000-0005-0000-0000-00001B000000}"/>
    <cellStyle name="Normal 4" xfId="5" xr:uid="{00000000-0005-0000-0000-00001C000000}"/>
    <cellStyle name="Normal 5" xfId="6" xr:uid="{00000000-0005-0000-0000-00001D000000}"/>
    <cellStyle name="Normal 6" xfId="7" xr:uid="{00000000-0005-0000-0000-00001E000000}"/>
    <cellStyle name="Normal 7" xfId="8" xr:uid="{00000000-0005-0000-0000-00001F000000}"/>
    <cellStyle name="Normal 8" xfId="9" xr:uid="{00000000-0005-0000-0000-000020000000}"/>
    <cellStyle name="Normal 9" xfId="34" xr:uid="{00000000-0005-0000-0000-000021000000}"/>
    <cellStyle name="Percent 2" xfId="4" xr:uid="{00000000-0005-0000-0000-00002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Data!$B$202</c:f>
          <c:strCache>
            <c:ptCount val="1"/>
            <c:pt idx="0">
              <c:v>MHN</c:v>
            </c:pt>
          </c:strCache>
        </c:strRef>
      </c:tx>
      <c:layout>
        <c:manualLayout>
          <c:xMode val="edge"/>
          <c:yMode val="edge"/>
          <c:x val="0.47728081580533432"/>
          <c:y val="1.5733644405560417E-2"/>
        </c:manualLayout>
      </c:layout>
      <c:overlay val="0"/>
      <c:txPr>
        <a:bodyPr/>
        <a:lstStyle/>
        <a:p>
          <a:pPr>
            <a:defRPr sz="1000"/>
          </a:pPr>
          <a:endParaRPr lang="en-US"/>
        </a:p>
      </c:txPr>
    </c:title>
    <c:autoTitleDeleted val="0"/>
    <c:plotArea>
      <c:layout>
        <c:manualLayout>
          <c:layoutTarget val="inner"/>
          <c:xMode val="edge"/>
          <c:yMode val="edge"/>
          <c:x val="0.22560014879648299"/>
          <c:y val="8.8694079906678533E-2"/>
          <c:w val="0.71361446091976"/>
          <c:h val="0.73213881598133601"/>
        </c:manualLayout>
      </c:layout>
      <c:barChart>
        <c:barDir val="bar"/>
        <c:grouping val="stacked"/>
        <c:varyColors val="0"/>
        <c:ser>
          <c:idx val="0"/>
          <c:order val="0"/>
          <c:tx>
            <c:strRef>
              <c:f>Data!$A$204</c:f>
              <c:strCache>
                <c:ptCount val="1"/>
                <c:pt idx="0">
                  <c:v>Pharm</c:v>
                </c:pt>
              </c:strCache>
            </c:strRef>
          </c:tx>
          <c:spPr>
            <a:solidFill>
              <a:schemeClr val="accent1"/>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(Data!$B$203,Data!$D$203,Data!$F$203)</c:f>
              <c:strCache>
                <c:ptCount val="3"/>
                <c:pt idx="0">
                  <c:v>Script out</c:v>
                </c:pt>
                <c:pt idx="1">
                  <c:v>Script processing</c:v>
                </c:pt>
                <c:pt idx="2">
                  <c:v>Script in</c:v>
                </c:pt>
              </c:strCache>
            </c:strRef>
          </c:cat>
          <c:val>
            <c:numRef>
              <c:f>(Data!$B$204,Data!$D$204,Data!$F$204)</c:f>
              <c:numCache>
                <c:formatCode>0%</c:formatCode>
                <c:ptCount val="3"/>
                <c:pt idx="0">
                  <c:v>0.28205128205128205</c:v>
                </c:pt>
                <c:pt idx="1">
                  <c:v>0.4</c:v>
                </c:pt>
                <c:pt idx="2">
                  <c:v>0.23333333333333334</c:v>
                </c:pt>
              </c:numCache>
            </c:numRef>
          </c:val>
          <c:extLst>
            <c:ext xmlns:c16="http://schemas.microsoft.com/office/drawing/2014/chart" uri="{C3380CC4-5D6E-409C-BE32-E72D297353CC}">
              <c16:uniqueId val="{00000000-127E-48AE-A693-52118F3B6002}"/>
            </c:ext>
          </c:extLst>
        </c:ser>
        <c:ser>
          <c:idx val="2"/>
          <c:order val="1"/>
          <c:tx>
            <c:strRef>
              <c:f>Data!$A$205</c:f>
              <c:strCache>
                <c:ptCount val="1"/>
                <c:pt idx="0">
                  <c:v>Tech</c:v>
                </c:pt>
              </c:strCache>
            </c:strRef>
          </c:tx>
          <c:spPr>
            <a:solidFill>
              <a:schemeClr val="accent2"/>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(Data!$B$203,Data!$D$203,Data!$F$203)</c:f>
              <c:strCache>
                <c:ptCount val="3"/>
                <c:pt idx="0">
                  <c:v>Script out</c:v>
                </c:pt>
                <c:pt idx="1">
                  <c:v>Script processing</c:v>
                </c:pt>
                <c:pt idx="2">
                  <c:v>Script in</c:v>
                </c:pt>
              </c:strCache>
            </c:strRef>
          </c:cat>
          <c:val>
            <c:numRef>
              <c:f>(Data!$B$205,Data!$D$205,Data!$F$205)</c:f>
              <c:numCache>
                <c:formatCode>0%</c:formatCode>
                <c:ptCount val="3"/>
                <c:pt idx="0">
                  <c:v>0.17948717948717949</c:v>
                </c:pt>
                <c:pt idx="1">
                  <c:v>0.13333333333333333</c:v>
                </c:pt>
                <c:pt idx="2">
                  <c:v>0.1</c:v>
                </c:pt>
              </c:numCache>
            </c:numRef>
          </c:val>
          <c:extLst>
            <c:ext xmlns:c16="http://schemas.microsoft.com/office/drawing/2014/chart" uri="{C3380CC4-5D6E-409C-BE32-E72D297353CC}">
              <c16:uniqueId val="{00000005-127E-48AE-A693-52118F3B6002}"/>
            </c:ext>
          </c:extLst>
        </c:ser>
        <c:ser>
          <c:idx val="4"/>
          <c:order val="2"/>
          <c:tx>
            <c:strRef>
              <c:f>Data!$A$206</c:f>
              <c:strCache>
                <c:ptCount val="1"/>
                <c:pt idx="0">
                  <c:v>Other</c:v>
                </c:pt>
              </c:strCache>
            </c:strRef>
          </c:tx>
          <c:spPr>
            <a:solidFill>
              <a:schemeClr val="accent3"/>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(Data!$B$203,Data!$D$203,Data!$F$203)</c:f>
              <c:strCache>
                <c:ptCount val="3"/>
                <c:pt idx="0">
                  <c:v>Script out</c:v>
                </c:pt>
                <c:pt idx="1">
                  <c:v>Script processing</c:v>
                </c:pt>
                <c:pt idx="2">
                  <c:v>Script in</c:v>
                </c:pt>
              </c:strCache>
            </c:strRef>
          </c:cat>
          <c:val>
            <c:numRef>
              <c:f>(Data!$B$206,Data!$D$206,Data!$F$206)</c:f>
              <c:numCache>
                <c:formatCode>0%</c:formatCode>
                <c:ptCount val="3"/>
                <c:pt idx="0">
                  <c:v>0.17948717948717949</c:v>
                </c:pt>
                <c:pt idx="1">
                  <c:v>0.16666666666666666</c:v>
                </c:pt>
                <c:pt idx="2">
                  <c:v>0.53333333333333333</c:v>
                </c:pt>
              </c:numCache>
            </c:numRef>
          </c:val>
          <c:extLst>
            <c:ext xmlns:c16="http://schemas.microsoft.com/office/drawing/2014/chart" uri="{C3380CC4-5D6E-409C-BE32-E72D297353CC}">
              <c16:uniqueId val="{00000001-DE69-4471-B2ED-CC747A6485CB}"/>
            </c:ext>
          </c:extLst>
        </c:ser>
        <c:ser>
          <c:idx val="1"/>
          <c:order val="3"/>
          <c:tx>
            <c:strRef>
              <c:f>Data!$A$207</c:f>
              <c:strCache>
                <c:ptCount val="1"/>
                <c:pt idx="0">
                  <c:v>Student (pre reg)</c:v>
                </c:pt>
              </c:strCache>
            </c:strRef>
          </c:tx>
          <c:spPr>
            <a:solidFill>
              <a:schemeClr val="accent4"/>
            </a:solidFill>
          </c:spPr>
          <c:invertIfNegative val="0"/>
          <c:dLbls>
            <c:dLbl>
              <c:idx val="1"/>
              <c:layout>
                <c:manualLayout>
                  <c:x val="1.8927437272684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A2-4254-8775-89FD33A77D26}"/>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(Data!$B$203,Data!$D$203,Data!$F$203)</c:f>
              <c:strCache>
                <c:ptCount val="3"/>
                <c:pt idx="0">
                  <c:v>Script out</c:v>
                </c:pt>
                <c:pt idx="1">
                  <c:v>Script processing</c:v>
                </c:pt>
                <c:pt idx="2">
                  <c:v>Script in</c:v>
                </c:pt>
              </c:strCache>
            </c:strRef>
          </c:cat>
          <c:val>
            <c:numRef>
              <c:f>(Data!$B$207,Data!$D$207,Data!$F$207)</c:f>
              <c:numCache>
                <c:formatCode>0%</c:formatCode>
                <c:ptCount val="3"/>
                <c:pt idx="0">
                  <c:v>0.35897435897435898</c:v>
                </c:pt>
                <c:pt idx="1">
                  <c:v>0.3</c:v>
                </c:pt>
                <c:pt idx="2">
                  <c:v>0.13333333333333333</c:v>
                </c:pt>
              </c:numCache>
            </c:numRef>
          </c:val>
          <c:extLst>
            <c:ext xmlns:c16="http://schemas.microsoft.com/office/drawing/2014/chart" uri="{C3380CC4-5D6E-409C-BE32-E72D297353CC}">
              <c16:uniqueId val="{00000002-DE69-4471-B2ED-CC747A6485CB}"/>
            </c:ext>
          </c:extLst>
        </c:ser>
        <c:dLbls>
          <c:showLegendKey val="0"/>
          <c:showVal val="0"/>
          <c:showCatName val="0"/>
          <c:showSerName val="0"/>
          <c:showPercent val="0"/>
          <c:showBubbleSize val="0"/>
        </c:dLbls>
        <c:gapWidth val="55"/>
        <c:overlap val="100"/>
        <c:axId val="118155776"/>
        <c:axId val="117548160"/>
      </c:barChart>
      <c:catAx>
        <c:axId val="118155776"/>
        <c:scaling>
          <c:orientation val="minMax"/>
        </c:scaling>
        <c:delete val="0"/>
        <c:axPos val="l"/>
        <c:numFmt formatCode="General" sourceLinked="0"/>
        <c:majorTickMark val="none"/>
        <c:minorTickMark val="none"/>
        <c:tickLblPos val="nextTo"/>
        <c:txPr>
          <a:bodyPr/>
          <a:lstStyle/>
          <a:p>
            <a:pPr>
              <a:defRPr sz="800"/>
            </a:pPr>
            <a:endParaRPr lang="en-US"/>
          </a:p>
        </c:txPr>
        <c:crossAx val="117548160"/>
        <c:crosses val="autoZero"/>
        <c:auto val="1"/>
        <c:lblAlgn val="ctr"/>
        <c:lblOffset val="100"/>
        <c:noMultiLvlLbl val="0"/>
      </c:catAx>
      <c:valAx>
        <c:axId val="117548160"/>
        <c:scaling>
          <c:orientation val="minMax"/>
          <c:max val="1"/>
          <c:min val="0"/>
        </c:scaling>
        <c:delete val="0"/>
        <c:axPos val="b"/>
        <c:majorGridlines/>
        <c:numFmt formatCode="0%" sourceLinked="1"/>
        <c:majorTickMark val="none"/>
        <c:minorTickMark val="none"/>
        <c:tickLblPos val="nextTo"/>
        <c:txPr>
          <a:bodyPr/>
          <a:lstStyle/>
          <a:p>
            <a:pPr>
              <a:defRPr sz="900"/>
            </a:pPr>
            <a:endParaRPr lang="en-US"/>
          </a:p>
        </c:txPr>
        <c:crossAx val="118155776"/>
        <c:crosses val="autoZero"/>
        <c:crossBetween val="between"/>
      </c:valAx>
    </c:plotArea>
    <c:legend>
      <c:legendPos val="b"/>
      <c:layout>
        <c:manualLayout>
          <c:xMode val="edge"/>
          <c:yMode val="edge"/>
          <c:x val="0.16053328278068196"/>
          <c:y val="0.90678954019636349"/>
          <c:w val="0.74889729048519404"/>
          <c:h val="8.3333916593759244E-2"/>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000"/>
            </a:pPr>
            <a:r>
              <a:rPr lang="en-AU" sz="1000"/>
              <a:t>Disengagement - queuing v waiting</a:t>
            </a:r>
          </a:p>
        </c:rich>
      </c:tx>
      <c:layout>
        <c:manualLayout>
          <c:xMode val="edge"/>
          <c:yMode val="edge"/>
          <c:x val="0.33068242581999191"/>
          <c:y val="3.3909417493286E-2"/>
        </c:manualLayout>
      </c:layout>
      <c:overlay val="0"/>
    </c:title>
    <c:autoTitleDeleted val="0"/>
    <c:plotArea>
      <c:layout>
        <c:manualLayout>
          <c:layoutTarget val="inner"/>
          <c:xMode val="edge"/>
          <c:yMode val="edge"/>
          <c:x val="9.8096291532208404E-2"/>
          <c:y val="0.161741973149053"/>
          <c:w val="0.85944738192082148"/>
          <c:h val="0.64219008223544605"/>
        </c:manualLayout>
      </c:layout>
      <c:barChart>
        <c:barDir val="bar"/>
        <c:grouping val="stacked"/>
        <c:varyColors val="0"/>
        <c:ser>
          <c:idx val="0"/>
          <c:order val="0"/>
          <c:tx>
            <c:strRef>
              <c:f>Data!$B$33</c:f>
              <c:strCache>
                <c:ptCount val="1"/>
                <c:pt idx="0">
                  <c:v>Queuing</c:v>
                </c:pt>
              </c:strCache>
            </c:strRef>
          </c:tx>
          <c:invertIfNegative val="0"/>
          <c:dLbls>
            <c:dLbl>
              <c:idx val="0"/>
              <c:layout>
                <c:manualLayout>
                  <c:x val="0"/>
                  <c:y val="4.6332030234125347E-2"/>
                </c:manualLayout>
              </c:layout>
              <c:tx>
                <c:strRef>
                  <c:f>Data!$I$34</c:f>
                  <c:strCache>
                    <c:ptCount val="1"/>
                    <c:pt idx="0">
                      <c:v>0:13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{FE32BDB1-E3CA-4600-9252-272A45461139}</c15:txfldGUID>
                      <c15:f>Data!$I$34</c15:f>
                      <c15:dlblFieldTableCache>
                        <c:ptCount val="1"/>
                        <c:pt idx="0">
                          <c:v>0:13
</c:v>
                        </c:pt>
                      </c15:dlblFieldTableCache>
                    </c15:dlblFTEntry>
                  </c15:dlblFieldTable>
                  <c15:showDataLabelsRange val="0"/>
                </c:ext>
                <c:ext xmlns:c16="http://schemas.microsoft.com/office/drawing/2014/chart" uri="{C3380CC4-5D6E-409C-BE32-E72D297353CC}">
                  <c16:uniqueId val="{00000000-CA71-4283-AA63-F439ADACD18D}"/>
                </c:ext>
              </c:extLst>
            </c:dLbl>
            <c:dLbl>
              <c:idx val="1"/>
              <c:layout>
                <c:manualLayout>
                  <c:x val="0"/>
                  <c:y val="3.3094307310089492E-2"/>
                </c:manualLayout>
              </c:layout>
              <c:tx>
                <c:strRef>
                  <c:f>Data!$I$35</c:f>
                  <c:strCache>
                    <c:ptCount val="1"/>
                    <c:pt idx="0">
                      <c:v>0:10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{B45360CF-A1B6-4D3E-A946-A6E39032322C}</c15:txfldGUID>
                      <c15:f>Data!$I$35</c15:f>
                      <c15:dlblFieldTableCache>
                        <c:ptCount val="1"/>
                        <c:pt idx="0">
                          <c:v>0:10
</c:v>
                        </c:pt>
                      </c15:dlblFieldTableCache>
                    </c15:dlblFTEntry>
                  </c15:dlblFieldTable>
                  <c15:showDataLabelsRange val="0"/>
                </c:ext>
                <c:ext xmlns:c16="http://schemas.microsoft.com/office/drawing/2014/chart" uri="{C3380CC4-5D6E-409C-BE32-E72D297353CC}">
                  <c16:uniqueId val="{00000001-CA71-4283-AA63-F439ADACD18D}"/>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Data!$A$34:$A$35</c:f>
              <c:strCache>
                <c:ptCount val="2"/>
                <c:pt idx="0">
                  <c:v>Cohort</c:v>
                </c:pt>
                <c:pt idx="1">
                  <c:v>MHN</c:v>
                </c:pt>
              </c:strCache>
            </c:strRef>
          </c:cat>
          <c:val>
            <c:numRef>
              <c:f>Data!$B$34:$B$35</c:f>
              <c:numCache>
                <c:formatCode>mm:ss</c:formatCode>
                <c:ptCount val="2"/>
                <c:pt idx="0">
                  <c:v>1.5286845966561757E-4</c:v>
                </c:pt>
                <c:pt idx="1">
                  <c:v>1.1216287393057851E-4</c:v>
                </c:pt>
              </c:numCache>
            </c:numRef>
          </c:val>
          <c:extLst>
            <c:ext xmlns:c16="http://schemas.microsoft.com/office/drawing/2014/chart" uri="{C3380CC4-5D6E-409C-BE32-E72D297353CC}">
              <c16:uniqueId val="{00000002-CA71-4283-AA63-F439ADACD18D}"/>
            </c:ext>
          </c:extLst>
        </c:ser>
        <c:ser>
          <c:idx val="1"/>
          <c:order val="1"/>
          <c:tx>
            <c:strRef>
              <c:f>Data!$C$33</c:f>
              <c:strCache>
                <c:ptCount val="1"/>
                <c:pt idx="0">
                  <c:v>Waiting</c:v>
                </c:pt>
              </c:strCache>
            </c:strRef>
          </c:tx>
          <c:invertIfNegative val="0"/>
          <c:dLbls>
            <c:dLbl>
              <c:idx val="0"/>
              <c:layout>
                <c:manualLayout>
                  <c:x val="-2.464065389698732E-2"/>
                  <c:y val="4.6332030234125347E-2"/>
                </c:manualLayout>
              </c:layout>
              <c:tx>
                <c:strRef>
                  <c:f>Data!$J$34</c:f>
                  <c:strCache>
                    <c:ptCount val="1"/>
                    <c:pt idx="0">
                      <c:v>2:27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{91ECC192-84E1-4696-B933-922E0ED84D55}</c15:txfldGUID>
                      <c15:f>Data!$J$34</c15:f>
                      <c15:dlblFieldTableCache>
                        <c:ptCount val="1"/>
                        <c:pt idx="0">
                          <c:v>2:27
</c:v>
                        </c:pt>
                      </c15:dlblFieldTableCache>
                    </c15:dlblFTEntry>
                  </c15:dlblFieldTable>
                  <c15:showDataLabelsRange val="0"/>
                </c:ext>
                <c:ext xmlns:c16="http://schemas.microsoft.com/office/drawing/2014/chart" uri="{C3380CC4-5D6E-409C-BE32-E72D297353CC}">
                  <c16:uniqueId val="{00000003-CA71-4283-AA63-F439ADACD18D}"/>
                </c:ext>
              </c:extLst>
            </c:dLbl>
            <c:dLbl>
              <c:idx val="1"/>
              <c:layout>
                <c:manualLayout>
                  <c:x val="-3.6960980845480981E-2"/>
                  <c:y val="3.9713168772107392E-2"/>
                </c:manualLayout>
              </c:layout>
              <c:tx>
                <c:strRef>
                  <c:f>Data!$J$35</c:f>
                  <c:strCache>
                    <c:ptCount val="1"/>
                    <c:pt idx="0">
                      <c:v>3:39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{97FEF229-6B81-4CBB-84F4-2CABA7DFBB14}</c15:txfldGUID>
                      <c15:f>Data!$J$35</c15:f>
                      <c15:dlblFieldTableCache>
                        <c:ptCount val="1"/>
                        <c:pt idx="0">
                          <c:v>3:39
</c:v>
                        </c:pt>
                      </c15:dlblFieldTableCache>
                    </c15:dlblFTEntry>
                  </c15:dlblFieldTable>
                  <c15:showDataLabelsRange val="0"/>
                </c:ext>
                <c:ext xmlns:c16="http://schemas.microsoft.com/office/drawing/2014/chart" uri="{C3380CC4-5D6E-409C-BE32-E72D297353CC}">
                  <c16:uniqueId val="{00000004-CA71-4283-AA63-F439ADACD18D}"/>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Data!$A$34:$A$35</c:f>
              <c:strCache>
                <c:ptCount val="2"/>
                <c:pt idx="0">
                  <c:v>Cohort</c:v>
                </c:pt>
                <c:pt idx="1">
                  <c:v>MHN</c:v>
                </c:pt>
              </c:strCache>
            </c:strRef>
          </c:cat>
          <c:val>
            <c:numRef>
              <c:f>Data!$C$34:$C$35</c:f>
              <c:numCache>
                <c:formatCode>mm:ss</c:formatCode>
                <c:ptCount val="2"/>
                <c:pt idx="0">
                  <c:v>1.7056200020216716E-3</c:v>
                </c:pt>
                <c:pt idx="1">
                  <c:v>2.5344873968874584E-3</c:v>
                </c:pt>
              </c:numCache>
            </c:numRef>
          </c:val>
          <c:extLst>
            <c:ext xmlns:c16="http://schemas.microsoft.com/office/drawing/2014/chart" uri="{C3380CC4-5D6E-409C-BE32-E72D297353CC}">
              <c16:uniqueId val="{00000005-CA71-4283-AA63-F439ADACD18D}"/>
            </c:ext>
          </c:extLst>
        </c:ser>
        <c:dLbls>
          <c:showLegendKey val="0"/>
          <c:showVal val="0"/>
          <c:showCatName val="0"/>
          <c:showSerName val="0"/>
          <c:showPercent val="0"/>
          <c:showBubbleSize val="0"/>
        </c:dLbls>
        <c:gapWidth val="55"/>
        <c:overlap val="100"/>
        <c:axId val="171519488"/>
        <c:axId val="146929856"/>
      </c:barChart>
      <c:catAx>
        <c:axId val="171519488"/>
        <c:scaling>
          <c:orientation val="minMax"/>
        </c:scaling>
        <c:delete val="0"/>
        <c:axPos val="l"/>
        <c:numFmt formatCode="General" sourceLinked="0"/>
        <c:majorTickMark val="none"/>
        <c:minorTickMark val="none"/>
        <c:tickLblPos val="nextTo"/>
        <c:txPr>
          <a:bodyPr/>
          <a:lstStyle/>
          <a:p>
            <a:pPr>
              <a:defRPr sz="800"/>
            </a:pPr>
            <a:endParaRPr lang="en-US"/>
          </a:p>
        </c:txPr>
        <c:crossAx val="146929856"/>
        <c:crosses val="autoZero"/>
        <c:auto val="1"/>
        <c:lblAlgn val="ctr"/>
        <c:lblOffset val="100"/>
        <c:noMultiLvlLbl val="0"/>
      </c:catAx>
      <c:valAx>
        <c:axId val="146929856"/>
        <c:scaling>
          <c:orientation val="minMax"/>
        </c:scaling>
        <c:delete val="0"/>
        <c:axPos val="b"/>
        <c:numFmt formatCode="mm:ss" sourceLinked="1"/>
        <c:majorTickMark val="none"/>
        <c:minorTickMark val="none"/>
        <c:tickLblPos val="nextTo"/>
        <c:txPr>
          <a:bodyPr/>
          <a:lstStyle/>
          <a:p>
            <a:pPr>
              <a:defRPr sz="900"/>
            </a:pPr>
            <a:endParaRPr lang="en-US"/>
          </a:p>
        </c:txPr>
        <c:crossAx val="171519488"/>
        <c:crosses val="autoZero"/>
        <c:crossBetween val="between"/>
      </c:valAx>
    </c:plotArea>
    <c:legend>
      <c:legendPos val="b"/>
      <c:layout>
        <c:manualLayout>
          <c:xMode val="edge"/>
          <c:yMode val="edge"/>
          <c:x val="0.29257869233171752"/>
          <c:y val="0.88830593107315703"/>
          <c:w val="0.41484227174319038"/>
          <c:h val="0.1116940689268431"/>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Data!$B$202</c:f>
          <c:strCache>
            <c:ptCount val="1"/>
            <c:pt idx="0">
              <c:v>MHN</c:v>
            </c:pt>
          </c:strCache>
        </c:strRef>
      </c:tx>
      <c:overlay val="0"/>
      <c:txPr>
        <a:bodyPr/>
        <a:lstStyle/>
        <a:p>
          <a:pPr>
            <a:defRPr sz="1050"/>
          </a:pPr>
          <a:endParaRPr lang="en-US"/>
        </a:p>
      </c:txPr>
    </c:title>
    <c:autoTitleDeleted val="0"/>
    <c:plotArea>
      <c:layout>
        <c:manualLayout>
          <c:layoutTarget val="inner"/>
          <c:xMode val="edge"/>
          <c:yMode val="edge"/>
          <c:x val="0.16508814869993971"/>
          <c:y val="0.19432888597258677"/>
          <c:w val="0.77089531178437376"/>
          <c:h val="0.56874333821206824"/>
        </c:manualLayout>
      </c:layout>
      <c:barChart>
        <c:barDir val="bar"/>
        <c:grouping val="stacked"/>
        <c:varyColors val="0"/>
        <c:ser>
          <c:idx val="0"/>
          <c:order val="0"/>
          <c:tx>
            <c:strRef>
              <c:f>Data!$A$204</c:f>
              <c:strCache>
                <c:ptCount val="1"/>
                <c:pt idx="0">
                  <c:v>Pharm</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(Data!$B$203,Data!$F$203)</c:f>
              <c:strCache>
                <c:ptCount val="2"/>
                <c:pt idx="0">
                  <c:v>Script out</c:v>
                </c:pt>
                <c:pt idx="1">
                  <c:v>Script in</c:v>
                </c:pt>
              </c:strCache>
            </c:strRef>
          </c:cat>
          <c:val>
            <c:numRef>
              <c:f>(Data!$B$204,Data!$F$204)</c:f>
              <c:numCache>
                <c:formatCode>0%</c:formatCode>
                <c:ptCount val="2"/>
                <c:pt idx="0">
                  <c:v>0.28205128205128205</c:v>
                </c:pt>
                <c:pt idx="1">
                  <c:v>0.23333333333333334</c:v>
                </c:pt>
              </c:numCache>
            </c:numRef>
          </c:val>
          <c:extLst>
            <c:ext xmlns:c16="http://schemas.microsoft.com/office/drawing/2014/chart" uri="{C3380CC4-5D6E-409C-BE32-E72D297353CC}">
              <c16:uniqueId val="{00000000-9837-49E2-9CBE-486131BC4766}"/>
            </c:ext>
          </c:extLst>
        </c:ser>
        <c:ser>
          <c:idx val="4"/>
          <c:order val="1"/>
          <c:tx>
            <c:strRef>
              <c:f>Data!$A$205</c:f>
              <c:strCache>
                <c:ptCount val="1"/>
                <c:pt idx="0">
                  <c:v>Tech</c:v>
                </c:pt>
              </c:strCache>
            </c:strRef>
          </c:tx>
          <c:spPr>
            <a:solidFill>
              <a:schemeClr val="accent2"/>
            </a:solidFill>
            <a:ln>
              <a:solidFill>
                <a:schemeClr val="accent2"/>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(Data!$B$203,Data!$F$203)</c:f>
              <c:strCache>
                <c:ptCount val="2"/>
                <c:pt idx="0">
                  <c:v>Script out</c:v>
                </c:pt>
                <c:pt idx="1">
                  <c:v>Script in</c:v>
                </c:pt>
              </c:strCache>
            </c:strRef>
          </c:cat>
          <c:val>
            <c:numRef>
              <c:f>(Data!$B$205,Data!$F$205)</c:f>
              <c:numCache>
                <c:formatCode>0%</c:formatCode>
                <c:ptCount val="2"/>
                <c:pt idx="0">
                  <c:v>0.17948717948717949</c:v>
                </c:pt>
                <c:pt idx="1">
                  <c:v>0.1</c:v>
                </c:pt>
              </c:numCache>
            </c:numRef>
          </c:val>
          <c:extLst>
            <c:ext xmlns:c16="http://schemas.microsoft.com/office/drawing/2014/chart" uri="{C3380CC4-5D6E-409C-BE32-E72D297353CC}">
              <c16:uniqueId val="{00000001-9837-49E2-9CBE-486131BC4766}"/>
            </c:ext>
          </c:extLst>
        </c:ser>
        <c:ser>
          <c:idx val="1"/>
          <c:order val="2"/>
          <c:tx>
            <c:strRef>
              <c:f>Data!$A$206</c:f>
              <c:strCache>
                <c:ptCount val="1"/>
                <c:pt idx="0">
                  <c:v>Other</c:v>
                </c:pt>
              </c:strCache>
            </c:strRef>
          </c:tx>
          <c:spPr>
            <a:solidFill>
              <a:schemeClr val="accent3"/>
            </a:solidFill>
            <a:ln>
              <a:solidFill>
                <a:schemeClr val="accent3"/>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(Data!$B$203,Data!$F$203)</c:f>
              <c:strCache>
                <c:ptCount val="2"/>
                <c:pt idx="0">
                  <c:v>Script out</c:v>
                </c:pt>
                <c:pt idx="1">
                  <c:v>Script in</c:v>
                </c:pt>
              </c:strCache>
            </c:strRef>
          </c:cat>
          <c:val>
            <c:numRef>
              <c:f>(Data!$B$206,Data!$F$206)</c:f>
              <c:numCache>
                <c:formatCode>0%</c:formatCode>
                <c:ptCount val="2"/>
                <c:pt idx="0">
                  <c:v>0.17948717948717949</c:v>
                </c:pt>
                <c:pt idx="1">
                  <c:v>0.53333333333333333</c:v>
                </c:pt>
              </c:numCache>
            </c:numRef>
          </c:val>
          <c:extLst>
            <c:ext xmlns:c16="http://schemas.microsoft.com/office/drawing/2014/chart" uri="{C3380CC4-5D6E-409C-BE32-E72D297353CC}">
              <c16:uniqueId val="{00000002-9837-49E2-9CBE-486131BC4766}"/>
            </c:ext>
          </c:extLst>
        </c:ser>
        <c:ser>
          <c:idx val="2"/>
          <c:order val="3"/>
          <c:tx>
            <c:strRef>
              <c:f>Data!$A$207</c:f>
              <c:strCache>
                <c:ptCount val="1"/>
                <c:pt idx="0">
                  <c:v>Student (pre reg)</c:v>
                </c:pt>
              </c:strCache>
            </c:strRef>
          </c:tx>
          <c:spPr>
            <a:solidFill>
              <a:schemeClr val="accent4"/>
            </a:solidFill>
            <a:ln>
              <a:solidFill>
                <a:schemeClr val="accent4"/>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(Data!$B$203,Data!$F$203)</c:f>
              <c:strCache>
                <c:ptCount val="2"/>
                <c:pt idx="0">
                  <c:v>Script out</c:v>
                </c:pt>
                <c:pt idx="1">
                  <c:v>Script in</c:v>
                </c:pt>
              </c:strCache>
            </c:strRef>
          </c:cat>
          <c:val>
            <c:numRef>
              <c:f>(Data!$B$207,Data!$F$207)</c:f>
              <c:numCache>
                <c:formatCode>0%</c:formatCode>
                <c:ptCount val="2"/>
                <c:pt idx="0">
                  <c:v>0.35897435897435898</c:v>
                </c:pt>
                <c:pt idx="1">
                  <c:v>0.13333333333333333</c:v>
                </c:pt>
              </c:numCache>
            </c:numRef>
          </c:val>
          <c:extLst>
            <c:ext xmlns:c16="http://schemas.microsoft.com/office/drawing/2014/chart" uri="{C3380CC4-5D6E-409C-BE32-E72D297353CC}">
              <c16:uniqueId val="{00000003-9837-49E2-9CBE-486131BC4766}"/>
            </c:ext>
          </c:extLst>
        </c:ser>
        <c:dLbls>
          <c:showLegendKey val="0"/>
          <c:showVal val="0"/>
          <c:showCatName val="0"/>
          <c:showSerName val="0"/>
          <c:showPercent val="0"/>
          <c:showBubbleSize val="0"/>
        </c:dLbls>
        <c:gapWidth val="55"/>
        <c:overlap val="100"/>
        <c:axId val="214143488"/>
        <c:axId val="167773888"/>
      </c:barChart>
      <c:catAx>
        <c:axId val="214143488"/>
        <c:scaling>
          <c:orientation val="minMax"/>
        </c:scaling>
        <c:delete val="0"/>
        <c:axPos val="l"/>
        <c:numFmt formatCode="General" sourceLinked="0"/>
        <c:majorTickMark val="none"/>
        <c:minorTickMark val="none"/>
        <c:tickLblPos val="nextTo"/>
        <c:txPr>
          <a:bodyPr/>
          <a:lstStyle/>
          <a:p>
            <a:pPr>
              <a:defRPr sz="800"/>
            </a:pPr>
            <a:endParaRPr lang="en-US"/>
          </a:p>
        </c:txPr>
        <c:crossAx val="167773888"/>
        <c:crosses val="autoZero"/>
        <c:auto val="1"/>
        <c:lblAlgn val="ctr"/>
        <c:lblOffset val="100"/>
        <c:noMultiLvlLbl val="0"/>
      </c:catAx>
      <c:valAx>
        <c:axId val="167773888"/>
        <c:scaling>
          <c:orientation val="minMax"/>
          <c:max val="1"/>
          <c:min val="0"/>
        </c:scaling>
        <c:delete val="0"/>
        <c:axPos val="b"/>
        <c:majorGridlines/>
        <c:numFmt formatCode="0%" sourceLinked="1"/>
        <c:majorTickMark val="none"/>
        <c:minorTickMark val="none"/>
        <c:tickLblPos val="nextTo"/>
        <c:txPr>
          <a:bodyPr/>
          <a:lstStyle/>
          <a:p>
            <a:pPr>
              <a:defRPr sz="900"/>
            </a:pPr>
            <a:endParaRPr lang="en-US"/>
          </a:p>
        </c:txPr>
        <c:crossAx val="214143488"/>
        <c:crosses val="autoZero"/>
        <c:crossBetween val="between"/>
      </c:valAx>
    </c:plotArea>
    <c:legend>
      <c:legendPos val="r"/>
      <c:layout>
        <c:manualLayout>
          <c:xMode val="edge"/>
          <c:yMode val="edge"/>
          <c:x val="0.1486668853893264"/>
          <c:y val="0.87648913677456985"/>
          <c:w val="0.76717856668622364"/>
          <c:h val="9.4128025663458736E-2"/>
        </c:manualLayout>
      </c:layout>
      <c:overlay val="0"/>
      <c:txPr>
        <a:bodyPr/>
        <a:lstStyle/>
        <a:p>
          <a:pPr>
            <a:defRPr sz="9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AU" sz="1000"/>
              <a:t>Engaged vs Disengaged</a:t>
            </a:r>
          </a:p>
        </c:rich>
      </c:tx>
      <c:layout>
        <c:manualLayout>
          <c:xMode val="edge"/>
          <c:yMode val="edge"/>
          <c:x val="0.39021458066533998"/>
          <c:y val="2.0671840233260956E-2"/>
        </c:manualLayout>
      </c:layout>
      <c:overlay val="0"/>
    </c:title>
    <c:autoTitleDeleted val="0"/>
    <c:plotArea>
      <c:layout>
        <c:manualLayout>
          <c:layoutTarget val="inner"/>
          <c:xMode val="edge"/>
          <c:yMode val="edge"/>
          <c:x val="0.11918630944078915"/>
          <c:y val="0.18745940913261339"/>
          <c:w val="0.78317065439283895"/>
          <c:h val="0.52966951641458482"/>
        </c:manualLayout>
      </c:layout>
      <c:barChart>
        <c:barDir val="bar"/>
        <c:grouping val="stacked"/>
        <c:varyColors val="0"/>
        <c:ser>
          <c:idx val="0"/>
          <c:order val="0"/>
          <c:tx>
            <c:strRef>
              <c:f>Data!$B$83</c:f>
              <c:strCache>
                <c:ptCount val="1"/>
                <c:pt idx="0">
                  <c:v>Engaged</c:v>
                </c:pt>
              </c:strCache>
            </c:strRef>
          </c:tx>
          <c:spPr>
            <a:solidFill>
              <a:schemeClr val="accent3">
                <a:lumMod val="75000"/>
              </a:schemeClr>
            </a:solidFill>
          </c:spPr>
          <c:invertIfNegative val="0"/>
          <c:dLbls>
            <c:dLbl>
              <c:idx val="0"/>
              <c:tx>
                <c:strRef>
                  <c:f>Data!$I$84</c:f>
                  <c:strCache>
                    <c:ptCount val="1"/>
                    <c:pt idx="0">
                      <c:v>01:49 (80%)</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{53DD4887-5B59-4DF4-BA05-298C9DB9DA33}</c15:txfldGUID>
                      <c15:f>Data!$I$84</c15:f>
                      <c15:dlblFieldTableCache>
                        <c:ptCount val="1"/>
                        <c:pt idx="0">
                          <c:v>01:49 (80%)</c:v>
                        </c:pt>
                      </c15:dlblFieldTableCache>
                    </c15:dlblFTEntry>
                  </c15:dlblFieldTable>
                  <c15:showDataLabelsRange val="1"/>
                </c:ext>
                <c:ext xmlns:c16="http://schemas.microsoft.com/office/drawing/2014/chart" uri="{C3380CC4-5D6E-409C-BE32-E72D297353CC}">
                  <c16:uniqueId val="{00000000-75DE-44FD-80C9-0EC2F6997560}"/>
                </c:ext>
              </c:extLst>
            </c:dLbl>
            <c:dLbl>
              <c:idx val="1"/>
              <c:tx>
                <c:strRef>
                  <c:f>Data!$I$85</c:f>
                  <c:strCache>
                    <c:ptCount val="1"/>
                    <c:pt idx="0">
                      <c:v>01:34 (48%)</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{0A600994-2DCF-4BB6-85B4-EC222FDA9478}</c15:txfldGUID>
                      <c15:f>Data!$I$85</c15:f>
                      <c15:dlblFieldTableCache>
                        <c:ptCount val="1"/>
                        <c:pt idx="0">
                          <c:v>01:34 (48%)</c:v>
                        </c:pt>
                      </c15:dlblFieldTableCache>
                    </c15:dlblFTEntry>
                  </c15:dlblFieldTable>
                  <c15:showDataLabelsRange val="0"/>
                </c:ext>
                <c:ext xmlns:c16="http://schemas.microsoft.com/office/drawing/2014/chart" uri="{C3380CC4-5D6E-409C-BE32-E72D297353CC}">
                  <c16:uniqueId val="{00000001-75DE-44FD-80C9-0EC2F6997560}"/>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Data!$A$84:$A$85</c:f>
              <c:strCache>
                <c:ptCount val="2"/>
                <c:pt idx="0">
                  <c:v>Cohort</c:v>
                </c:pt>
                <c:pt idx="1">
                  <c:v>MHN</c:v>
                </c:pt>
              </c:strCache>
            </c:strRef>
          </c:cat>
          <c:val>
            <c:numRef>
              <c:f>Data!$B$84:$B$85</c:f>
              <c:numCache>
                <c:formatCode>mm:ss</c:formatCode>
                <c:ptCount val="2"/>
                <c:pt idx="0">
                  <c:v>1.264170891715468E-3</c:v>
                </c:pt>
                <c:pt idx="1">
                  <c:v>1.0866769547325102E-3</c:v>
                </c:pt>
              </c:numCache>
            </c:numRef>
          </c:val>
          <c:extLst>
            <c:ext xmlns:c15="http://schemas.microsoft.com/office/drawing/2012/chart" uri="{02D57815-91ED-43cb-92C2-25804820EDAC}">
              <c15:datalabelsRange>
                <c15:f>Data!$I$84:$I$85</c15:f>
                <c15:dlblRangeCache>
                  <c:ptCount val="2"/>
                  <c:pt idx="0">
                    <c:v>01:49 (80%)</c:v>
                  </c:pt>
                  <c:pt idx="1">
                    <c:v>01:34 (48%)</c:v>
                  </c:pt>
                </c15:dlblRangeCache>
              </c15:datalabelsRange>
            </c:ext>
            <c:ext xmlns:c16="http://schemas.microsoft.com/office/drawing/2014/chart" uri="{C3380CC4-5D6E-409C-BE32-E72D297353CC}">
              <c16:uniqueId val="{00000002-75DE-44FD-80C9-0EC2F6997560}"/>
            </c:ext>
          </c:extLst>
        </c:ser>
        <c:ser>
          <c:idx val="1"/>
          <c:order val="1"/>
          <c:tx>
            <c:strRef>
              <c:f>Data!$C$83</c:f>
              <c:strCache>
                <c:ptCount val="1"/>
                <c:pt idx="0">
                  <c:v>Disengaged</c:v>
                </c:pt>
              </c:strCache>
            </c:strRef>
          </c:tx>
          <c:invertIfNegative val="0"/>
          <c:dLbls>
            <c:dLbl>
              <c:idx val="0"/>
              <c:tx>
                <c:strRef>
                  <c:f>Data!$J$84</c:f>
                  <c:strCache>
                    <c:ptCount val="1"/>
                    <c:pt idx="0">
                      <c:v>00:27 (20%)</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{F61164F2-33D2-4969-AB17-333DA9383265}</c15:txfldGUID>
                      <c15:f>Data!$J$84</c15:f>
                      <c15:dlblFieldTableCache>
                        <c:ptCount val="1"/>
                        <c:pt idx="0">
                          <c:v>00:27 (20%)</c:v>
                        </c:pt>
                      </c15:dlblFieldTableCache>
                    </c15:dlblFTEntry>
                  </c15:dlblFieldTable>
                  <c15:showDataLabelsRange val="1"/>
                </c:ext>
                <c:ext xmlns:c16="http://schemas.microsoft.com/office/drawing/2014/chart" uri="{C3380CC4-5D6E-409C-BE32-E72D297353CC}">
                  <c16:uniqueId val="{00000003-75DE-44FD-80C9-0EC2F6997560}"/>
                </c:ext>
              </c:extLst>
            </c:dLbl>
            <c:dLbl>
              <c:idx val="1"/>
              <c:layout>
                <c:manualLayout>
                  <c:x val="3.5593222714081336E-2"/>
                  <c:y val="0"/>
                </c:manualLayout>
              </c:layout>
              <c:tx>
                <c:strRef>
                  <c:f>Data!$J$85</c:f>
                  <c:strCache>
                    <c:ptCount val="1"/>
                    <c:pt idx="0">
                      <c:v>01:42 (52%)</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{DEDD4010-3A98-47A1-85B5-AFE5D0CDD39C}</c15:txfldGUID>
                      <c15:f>Data!$J$85</c15:f>
                      <c15:dlblFieldTableCache>
                        <c:ptCount val="1"/>
                        <c:pt idx="0">
                          <c:v>01:42 (52%)</c:v>
                        </c:pt>
                      </c15:dlblFieldTableCache>
                    </c15:dlblFTEntry>
                  </c15:dlblFieldTable>
                  <c15:showDataLabelsRange val="1"/>
                </c:ext>
                <c:ext xmlns:c16="http://schemas.microsoft.com/office/drawing/2014/chart" uri="{C3380CC4-5D6E-409C-BE32-E72D297353CC}">
                  <c16:uniqueId val="{00000004-75DE-44FD-80C9-0EC2F6997560}"/>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Data!$A$84:$A$85</c:f>
              <c:strCache>
                <c:ptCount val="2"/>
                <c:pt idx="0">
                  <c:v>Cohort</c:v>
                </c:pt>
                <c:pt idx="1">
                  <c:v>MHN</c:v>
                </c:pt>
              </c:strCache>
            </c:strRef>
          </c:cat>
          <c:val>
            <c:numRef>
              <c:f>Data!$C$84:$C$85</c:f>
              <c:numCache>
                <c:formatCode>mm:ss</c:formatCode>
                <c:ptCount val="2"/>
                <c:pt idx="0">
                  <c:v>3.1133571979251361E-4</c:v>
                </c:pt>
                <c:pt idx="1">
                  <c:v>1.1831275720164609E-3</c:v>
                </c:pt>
              </c:numCache>
            </c:numRef>
          </c:val>
          <c:extLst>
            <c:ext xmlns:c15="http://schemas.microsoft.com/office/drawing/2012/chart" uri="{02D57815-91ED-43cb-92C2-25804820EDAC}">
              <c15:datalabelsRange>
                <c15:f>Data!$J$84:$J$85</c15:f>
                <c15:dlblRangeCache>
                  <c:ptCount val="2"/>
                  <c:pt idx="0">
                    <c:v>00:27 (20%)</c:v>
                  </c:pt>
                  <c:pt idx="1">
                    <c:v>01:42 (52%)</c:v>
                  </c:pt>
                </c15:dlblRangeCache>
              </c15:datalabelsRange>
            </c:ext>
            <c:ext xmlns:c16="http://schemas.microsoft.com/office/drawing/2014/chart" uri="{C3380CC4-5D6E-409C-BE32-E72D297353CC}">
              <c16:uniqueId val="{00000005-75DE-44FD-80C9-0EC2F6997560}"/>
            </c:ext>
          </c:extLst>
        </c:ser>
        <c:dLbls>
          <c:showLegendKey val="0"/>
          <c:showVal val="0"/>
          <c:showCatName val="0"/>
          <c:showSerName val="0"/>
          <c:showPercent val="0"/>
          <c:showBubbleSize val="0"/>
        </c:dLbls>
        <c:gapWidth val="55"/>
        <c:overlap val="100"/>
        <c:axId val="77279232"/>
        <c:axId val="168021376"/>
      </c:barChart>
      <c:catAx>
        <c:axId val="77279232"/>
        <c:scaling>
          <c:orientation val="minMax"/>
        </c:scaling>
        <c:delete val="0"/>
        <c:axPos val="l"/>
        <c:numFmt formatCode="General" sourceLinked="0"/>
        <c:majorTickMark val="none"/>
        <c:minorTickMark val="none"/>
        <c:tickLblPos val="nextTo"/>
        <c:txPr>
          <a:bodyPr/>
          <a:lstStyle/>
          <a:p>
            <a:pPr>
              <a:defRPr sz="800"/>
            </a:pPr>
            <a:endParaRPr lang="en-US"/>
          </a:p>
        </c:txPr>
        <c:crossAx val="168021376"/>
        <c:crosses val="autoZero"/>
        <c:auto val="1"/>
        <c:lblAlgn val="ctr"/>
        <c:lblOffset val="100"/>
        <c:noMultiLvlLbl val="0"/>
      </c:catAx>
      <c:valAx>
        <c:axId val="168021376"/>
        <c:scaling>
          <c:orientation val="minMax"/>
        </c:scaling>
        <c:delete val="0"/>
        <c:axPos val="b"/>
        <c:title>
          <c:tx>
            <c:rich>
              <a:bodyPr/>
              <a:lstStyle/>
              <a:p>
                <a:pPr>
                  <a:defRPr sz="900"/>
                </a:pPr>
                <a:r>
                  <a:rPr lang="en-IN" sz="900" b="1" i="0" u="none" strike="noStrike" baseline="0">
                    <a:effectLst/>
                  </a:rPr>
                  <a:t>time (min:sec)</a:t>
                </a:r>
                <a:endParaRPr lang="en-IN" sz="900"/>
              </a:p>
            </c:rich>
          </c:tx>
          <c:layout>
            <c:manualLayout>
              <c:xMode val="edge"/>
              <c:yMode val="edge"/>
              <c:x val="0.84693052495198951"/>
              <c:y val="2.1180924939666487E-2"/>
            </c:manualLayout>
          </c:layout>
          <c:overlay val="0"/>
        </c:title>
        <c:numFmt formatCode="mm:ss" sourceLinked="1"/>
        <c:majorTickMark val="none"/>
        <c:minorTickMark val="none"/>
        <c:tickLblPos val="nextTo"/>
        <c:txPr>
          <a:bodyPr/>
          <a:lstStyle/>
          <a:p>
            <a:pPr>
              <a:defRPr sz="900"/>
            </a:pPr>
            <a:endParaRPr lang="en-US"/>
          </a:p>
        </c:txPr>
        <c:crossAx val="77279232"/>
        <c:crosses val="autoZero"/>
        <c:crossBetween val="between"/>
      </c:valAx>
    </c:plotArea>
    <c:legend>
      <c:legendPos val="r"/>
      <c:layout>
        <c:manualLayout>
          <c:xMode val="edge"/>
          <c:yMode val="edge"/>
          <c:x val="0.26776793459014575"/>
          <c:y val="0.84114972840004665"/>
          <c:w val="0.4288614993234699"/>
          <c:h val="0.111963712227528"/>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000"/>
            </a:pPr>
            <a:r>
              <a:rPr lang="en-AU" sz="1000"/>
              <a:t>Visit engagement effectiveness</a:t>
            </a:r>
          </a:p>
        </c:rich>
      </c:tx>
      <c:layout>
        <c:manualLayout>
          <c:xMode val="edge"/>
          <c:yMode val="edge"/>
          <c:x val="0.225373623564466"/>
          <c:y val="2.0671738066640046E-2"/>
        </c:manualLayout>
      </c:layout>
      <c:overlay val="0"/>
    </c:title>
    <c:autoTitleDeleted val="0"/>
    <c:plotArea>
      <c:layout>
        <c:manualLayout>
          <c:layoutTarget val="inner"/>
          <c:xMode val="edge"/>
          <c:yMode val="edge"/>
          <c:x val="9.8905237515411693E-2"/>
          <c:y val="0.11031146852042385"/>
          <c:w val="0.86143898261838003"/>
          <c:h val="0.64889781307691918"/>
        </c:manualLayout>
      </c:layout>
      <c:barChart>
        <c:barDir val="bar"/>
        <c:grouping val="stacked"/>
        <c:varyColors val="0"/>
        <c:ser>
          <c:idx val="0"/>
          <c:order val="0"/>
          <c:tx>
            <c:strRef>
              <c:f>Data!$B$93</c:f>
              <c:strCache>
                <c:ptCount val="1"/>
                <c:pt idx="0">
                  <c:v>PSS</c:v>
                </c:pt>
              </c:strCache>
            </c:strRef>
          </c:tx>
          <c:invertIfNegative val="0"/>
          <c:dLbls>
            <c:dLbl>
              <c:idx val="1"/>
              <c:layout>
                <c:manualLayout>
                  <c:x val="-5.2863439790727376E-3"/>
                  <c:y val="2.900299906996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BF-4A41-897B-78897D6D1EE9}"/>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Data!$A$94:$A$95</c:f>
              <c:strCache>
                <c:ptCount val="2"/>
                <c:pt idx="0">
                  <c:v>Cohort</c:v>
                </c:pt>
                <c:pt idx="1">
                  <c:v>MHN</c:v>
                </c:pt>
              </c:strCache>
            </c:strRef>
          </c:cat>
          <c:val>
            <c:numRef>
              <c:f>Data!$B$94:$B$95</c:f>
              <c:numCache>
                <c:formatCode>mm:ss</c:formatCode>
                <c:ptCount val="2"/>
                <c:pt idx="0">
                  <c:v>9.106608401898552E-5</c:v>
                </c:pt>
                <c:pt idx="1">
                  <c:v>6.4300411522633744E-6</c:v>
                </c:pt>
              </c:numCache>
            </c:numRef>
          </c:val>
          <c:extLst>
            <c:ext xmlns:c16="http://schemas.microsoft.com/office/drawing/2014/chart" uri="{C3380CC4-5D6E-409C-BE32-E72D297353CC}">
              <c16:uniqueId val="{00000002-FFB3-4111-A391-6913D83512B9}"/>
            </c:ext>
          </c:extLst>
        </c:ser>
        <c:ser>
          <c:idx val="1"/>
          <c:order val="1"/>
          <c:tx>
            <c:strRef>
              <c:f>Data!$C$93</c:f>
              <c:strCache>
                <c:ptCount val="1"/>
                <c:pt idx="0">
                  <c:v>PHC</c:v>
                </c:pt>
              </c:strCache>
            </c:strRef>
          </c:tx>
          <c:invertIfNegative val="0"/>
          <c:dLbls>
            <c:dLbl>
              <c:idx val="1"/>
              <c:layout>
                <c:manualLayout>
                  <c:x val="2.6431511771584985E-2"/>
                  <c:y val="-2.900356999514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F-4A41-897B-78897D6D1EE9}"/>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Data!$A$94:$A$95</c:f>
              <c:strCache>
                <c:ptCount val="2"/>
                <c:pt idx="0">
                  <c:v>Cohort</c:v>
                </c:pt>
                <c:pt idx="1">
                  <c:v>MHN</c:v>
                </c:pt>
              </c:strCache>
            </c:strRef>
          </c:cat>
          <c:val>
            <c:numRef>
              <c:f>Data!$C$94:$C$95</c:f>
              <c:numCache>
                <c:formatCode>mm:ss</c:formatCode>
                <c:ptCount val="2"/>
                <c:pt idx="0">
                  <c:v>1.2299803301668246E-4</c:v>
                </c:pt>
                <c:pt idx="1">
                  <c:v>1.2860082304526749E-5</c:v>
                </c:pt>
              </c:numCache>
            </c:numRef>
          </c:val>
          <c:extLst>
            <c:ext xmlns:c16="http://schemas.microsoft.com/office/drawing/2014/chart" uri="{C3380CC4-5D6E-409C-BE32-E72D297353CC}">
              <c16:uniqueId val="{00000005-FFB3-4111-A391-6913D83512B9}"/>
            </c:ext>
          </c:extLst>
        </c:ser>
        <c:ser>
          <c:idx val="2"/>
          <c:order val="2"/>
          <c:tx>
            <c:strRef>
              <c:f>Data!$D$93</c:f>
              <c:strCache>
                <c:ptCount val="1"/>
                <c:pt idx="0">
                  <c:v>PMC</c:v>
                </c:pt>
              </c:strCache>
            </c:strRef>
          </c:tx>
          <c:invertIfNegative val="0"/>
          <c:dLbls>
            <c:dLbl>
              <c:idx val="0"/>
              <c:layout>
                <c:manualLayout>
                  <c:x val="0"/>
                  <c:y val="2.8384990749551732E-2"/>
                </c:manualLayout>
              </c:layout>
              <c:tx>
                <c:strRef>
                  <c:f>Data!$S$94</c:f>
                  <c:strCache>
                    <c:ptCount val="1"/>
                    <c:pt idx="0">
                      <c:v>0:21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{E0C4C6DA-D5A9-4160-BED7-7A941E807A80}</c15:txfldGUID>
                      <c15:f>Data!$S$94</c15:f>
                      <c15:dlblFieldTableCache>
                        <c:ptCount val="1"/>
                        <c:pt idx="0">
                          <c:v>0:21
</c:v>
                        </c:pt>
                      </c15:dlblFieldTableCache>
                    </c15:dlblFTEntry>
                  </c15:dlblFieldTable>
                  <c15:showDataLabelsRange val="0"/>
                </c:ext>
                <c:ext xmlns:c16="http://schemas.microsoft.com/office/drawing/2014/chart" uri="{C3380CC4-5D6E-409C-BE32-E72D297353CC}">
                  <c16:uniqueId val="{00000006-FFB3-4111-A391-6913D83512B9}"/>
                </c:ext>
              </c:extLst>
            </c:dLbl>
            <c:dLbl>
              <c:idx val="1"/>
              <c:layout>
                <c:manualLayout>
                  <c:x val="0"/>
                  <c:y val="2.8385549520211585E-2"/>
                </c:manualLayout>
              </c:layout>
              <c:tx>
                <c:strRef>
                  <c:f>Data!$S$95</c:f>
                  <c:strCache>
                    <c:ptCount val="1"/>
                    <c:pt idx="0">
                      <c:v>0:29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{E3EECE9F-D09B-4182-9482-1339BE9C890D}</c15:txfldGUID>
                      <c15:f>Data!$S$95</c15:f>
                      <c15:dlblFieldTableCache>
                        <c:ptCount val="1"/>
                        <c:pt idx="0">
                          <c:v>0:29
</c:v>
                        </c:pt>
                      </c15:dlblFieldTableCache>
                    </c15:dlblFTEntry>
                  </c15:dlblFieldTable>
                  <c15:showDataLabelsRange val="0"/>
                </c:ext>
                <c:ext xmlns:c16="http://schemas.microsoft.com/office/drawing/2014/chart" uri="{C3380CC4-5D6E-409C-BE32-E72D297353CC}">
                  <c16:uniqueId val="{00000007-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Data!$A$94:$A$95</c:f>
              <c:strCache>
                <c:ptCount val="2"/>
                <c:pt idx="0">
                  <c:v>Cohort</c:v>
                </c:pt>
                <c:pt idx="1">
                  <c:v>MHN</c:v>
                </c:pt>
              </c:strCache>
            </c:strRef>
          </c:cat>
          <c:val>
            <c:numRef>
              <c:f>Data!$D$94:$D$95</c:f>
              <c:numCache>
                <c:formatCode>mm:ss</c:formatCode>
                <c:ptCount val="2"/>
                <c:pt idx="0">
                  <c:v>2.4340482760692563E-4</c:v>
                </c:pt>
                <c:pt idx="1">
                  <c:v>3.407921810699588E-4</c:v>
                </c:pt>
              </c:numCache>
            </c:numRef>
          </c:val>
          <c:extLst>
            <c:ext xmlns:c16="http://schemas.microsoft.com/office/drawing/2014/chart" uri="{C3380CC4-5D6E-409C-BE32-E72D297353CC}">
              <c16:uniqueId val="{00000008-FFB3-4111-A391-6913D83512B9}"/>
            </c:ext>
          </c:extLst>
        </c:ser>
        <c:ser>
          <c:idx val="3"/>
          <c:order val="3"/>
          <c:tx>
            <c:strRef>
              <c:f>Data!$E$93</c:f>
              <c:strCache>
                <c:ptCount val="1"/>
                <c:pt idx="0">
                  <c:v>RC</c:v>
                </c:pt>
              </c:strCache>
            </c:strRef>
          </c:tx>
          <c:invertIfNegative val="0"/>
          <c:dLbls>
            <c:dLbl>
              <c:idx val="0"/>
              <c:layout>
                <c:manualLayout>
                  <c:x val="0"/>
                  <c:y val="3.5481378129604661E-2"/>
                </c:manualLayout>
              </c:layout>
              <c:tx>
                <c:strRef>
                  <c:f>Data!$T$94</c:f>
                  <c:strCache>
                    <c:ptCount val="1"/>
                    <c:pt idx="0">
                      <c:v>0:28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{6EC372EA-249E-4C99-82CE-642802AB34A6}</c15:txfldGUID>
                      <c15:f>Data!$T$94</c15:f>
                      <c15:dlblFieldTableCache>
                        <c:ptCount val="1"/>
                        <c:pt idx="0">
                          <c:v>0:28
</c:v>
                        </c:pt>
                      </c15:dlblFieldTableCache>
                    </c15:dlblFTEntry>
                  </c15:dlblFieldTable>
                  <c15:showDataLabelsRange val="0"/>
                </c:ext>
                <c:ext xmlns:c16="http://schemas.microsoft.com/office/drawing/2014/chart" uri="{C3380CC4-5D6E-409C-BE32-E72D297353CC}">
                  <c16:uniqueId val="{00000009-FFB3-4111-A391-6913D83512B9}"/>
                </c:ext>
              </c:extLst>
            </c:dLbl>
            <c:dLbl>
              <c:idx val="1"/>
              <c:layout>
                <c:manualLayout>
                  <c:x val="9.7759667863452915E-3"/>
                  <c:y val="2.8385549520211585E-2"/>
                </c:manualLayout>
              </c:layout>
              <c:tx>
                <c:strRef>
                  <c:f>Data!$T$95</c:f>
                  <c:strCache>
                    <c:ptCount val="1"/>
                    <c:pt idx="0">
                      <c:v>0:10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{B365CB8B-36E0-40A3-AA57-02258F77B35A}</c15:txfldGUID>
                      <c15:f>Data!$T$95</c15:f>
                      <c15:dlblFieldTableCache>
                        <c:ptCount val="1"/>
                        <c:pt idx="0">
                          <c:v>0:10
</c:v>
                        </c:pt>
                      </c15:dlblFieldTableCache>
                    </c15:dlblFTEntry>
                  </c15:dlblFieldTable>
                  <c15:showDataLabelsRange val="0"/>
                </c:ext>
                <c:ext xmlns:c16="http://schemas.microsoft.com/office/drawing/2014/chart" uri="{C3380CC4-5D6E-409C-BE32-E72D297353CC}">
                  <c16:uniqueId val="{0000000A-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Data!$A$94:$A$95</c:f>
              <c:strCache>
                <c:ptCount val="2"/>
                <c:pt idx="0">
                  <c:v>Cohort</c:v>
                </c:pt>
                <c:pt idx="1">
                  <c:v>MHN</c:v>
                </c:pt>
              </c:strCache>
            </c:strRef>
          </c:cat>
          <c:val>
            <c:numRef>
              <c:f>Data!$E$94:$E$95</c:f>
              <c:numCache>
                <c:formatCode>mm:ss</c:formatCode>
                <c:ptCount val="2"/>
                <c:pt idx="0">
                  <c:v>3.2205284512025841E-4</c:v>
                </c:pt>
                <c:pt idx="1">
                  <c:v>1.1574074074074075E-4</c:v>
                </c:pt>
              </c:numCache>
            </c:numRef>
          </c:val>
          <c:extLst>
            <c:ext xmlns:c16="http://schemas.microsoft.com/office/drawing/2014/chart" uri="{C3380CC4-5D6E-409C-BE32-E72D297353CC}">
              <c16:uniqueId val="{0000000B-FFB3-4111-A391-6913D83512B9}"/>
            </c:ext>
          </c:extLst>
        </c:ser>
        <c:ser>
          <c:idx val="4"/>
          <c:order val="4"/>
          <c:tx>
            <c:strRef>
              <c:f>Data!$F$93</c:f>
              <c:strCache>
                <c:ptCount val="1"/>
                <c:pt idx="0">
                  <c:v>VN</c:v>
                </c:pt>
              </c:strCache>
            </c:strRef>
          </c:tx>
          <c:invertIfNegative val="0"/>
          <c:dLbls>
            <c:dLbl>
              <c:idx val="0"/>
              <c:layout>
                <c:manualLayout>
                  <c:x val="0"/>
                  <c:y val="3.5481936900264424E-2"/>
                </c:manualLayout>
              </c:layout>
              <c:tx>
                <c:strRef>
                  <c:f>Data!$U$94</c:f>
                  <c:strCache>
                    <c:ptCount val="1"/>
                    <c:pt idx="0">
                      <c:v>0:43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{9E7C94E4-C0C9-42D7-B850-C961205876D1}</c15:txfldGUID>
                      <c15:f>Data!$U$94</c15:f>
                      <c15:dlblFieldTableCache>
                        <c:ptCount val="1"/>
                        <c:pt idx="0">
                          <c:v>0:43
</c:v>
                        </c:pt>
                      </c15:dlblFieldTableCache>
                    </c15:dlblFTEntry>
                  </c15:dlblFieldTable>
                  <c15:showDataLabelsRange val="0"/>
                </c:ext>
                <c:ext xmlns:c16="http://schemas.microsoft.com/office/drawing/2014/chart" uri="{C3380CC4-5D6E-409C-BE32-E72D297353CC}">
                  <c16:uniqueId val="{0000000C-FFB3-4111-A391-6913D83512B9}"/>
                </c:ext>
              </c:extLst>
            </c:dLbl>
            <c:dLbl>
              <c:idx val="1"/>
              <c:layout>
                <c:manualLayout>
                  <c:x val="0"/>
                  <c:y val="3.5481936900264487E-2"/>
                </c:manualLayout>
              </c:layout>
              <c:tx>
                <c:strRef>
                  <c:f>Data!$U$95</c:f>
                  <c:strCache>
                    <c:ptCount val="1"/>
                    <c:pt idx="0">
                      <c:v>0:53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{4E59D1DA-187F-437C-B4B9-6E1BBC05D24E}</c15:txfldGUID>
                      <c15:f>Data!$U$95</c15:f>
                      <c15:dlblFieldTableCache>
                        <c:ptCount val="1"/>
                        <c:pt idx="0">
                          <c:v>0:53
</c:v>
                        </c:pt>
                      </c15:dlblFieldTableCache>
                    </c15:dlblFTEntry>
                  </c15:dlblFieldTable>
                  <c15:showDataLabelsRange val="0"/>
                </c:ext>
                <c:ext xmlns:c16="http://schemas.microsoft.com/office/drawing/2014/chart" uri="{C3380CC4-5D6E-409C-BE32-E72D297353CC}">
                  <c16:uniqueId val="{0000000D-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Data!$A$94:$A$95</c:f>
              <c:strCache>
                <c:ptCount val="2"/>
                <c:pt idx="0">
                  <c:v>Cohort</c:v>
                </c:pt>
                <c:pt idx="1">
                  <c:v>MHN</c:v>
                </c:pt>
              </c:strCache>
            </c:strRef>
          </c:cat>
          <c:val>
            <c:numRef>
              <c:f>Data!$F$94:$F$95</c:f>
              <c:numCache>
                <c:formatCode>mm:ss</c:formatCode>
                <c:ptCount val="2"/>
                <c:pt idx="0">
                  <c:v>4.9411636811300499E-4</c:v>
                </c:pt>
                <c:pt idx="1">
                  <c:v>6.1085390946502051E-4</c:v>
                </c:pt>
              </c:numCache>
            </c:numRef>
          </c:val>
          <c:extLst>
            <c:ext xmlns:c16="http://schemas.microsoft.com/office/drawing/2014/chart" uri="{C3380CC4-5D6E-409C-BE32-E72D297353CC}">
              <c16:uniqueId val="{0000000E-FFB3-4111-A391-6913D83512B9}"/>
            </c:ext>
          </c:extLst>
        </c:ser>
        <c:dLbls>
          <c:showLegendKey val="0"/>
          <c:showVal val="0"/>
          <c:showCatName val="0"/>
          <c:showSerName val="0"/>
          <c:showPercent val="0"/>
          <c:showBubbleSize val="0"/>
        </c:dLbls>
        <c:gapWidth val="55"/>
        <c:overlap val="100"/>
        <c:axId val="77282304"/>
        <c:axId val="168025408"/>
      </c:barChart>
      <c:catAx>
        <c:axId val="77282304"/>
        <c:scaling>
          <c:orientation val="minMax"/>
        </c:scaling>
        <c:delete val="0"/>
        <c:axPos val="l"/>
        <c:numFmt formatCode="General" sourceLinked="0"/>
        <c:majorTickMark val="none"/>
        <c:minorTickMark val="none"/>
        <c:tickLblPos val="nextTo"/>
        <c:txPr>
          <a:bodyPr/>
          <a:lstStyle/>
          <a:p>
            <a:pPr>
              <a:defRPr sz="800"/>
            </a:pPr>
            <a:endParaRPr lang="en-US"/>
          </a:p>
        </c:txPr>
        <c:crossAx val="168025408"/>
        <c:crosses val="autoZero"/>
        <c:auto val="1"/>
        <c:lblAlgn val="ctr"/>
        <c:lblOffset val="100"/>
        <c:noMultiLvlLbl val="0"/>
      </c:catAx>
      <c:valAx>
        <c:axId val="168025408"/>
        <c:scaling>
          <c:orientation val="minMax"/>
        </c:scaling>
        <c:delete val="0"/>
        <c:axPos val="b"/>
        <c:numFmt formatCode="mm:ss" sourceLinked="1"/>
        <c:majorTickMark val="none"/>
        <c:minorTickMark val="none"/>
        <c:tickLblPos val="nextTo"/>
        <c:txPr>
          <a:bodyPr/>
          <a:lstStyle/>
          <a:p>
            <a:pPr>
              <a:defRPr sz="900"/>
            </a:pPr>
            <a:endParaRPr lang="en-US"/>
          </a:p>
        </c:txPr>
        <c:crossAx val="77282304"/>
        <c:crosses val="autoZero"/>
        <c:crossBetween val="between"/>
      </c:valAx>
    </c:plotArea>
    <c:legend>
      <c:legendPos val="b"/>
      <c:layout>
        <c:manualLayout>
          <c:xMode val="edge"/>
          <c:yMode val="edge"/>
          <c:x val="0.19850873552097026"/>
          <c:y val="0.88164737418468864"/>
          <c:w val="0.60298252895805959"/>
          <c:h val="0.118352625815312"/>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000"/>
            </a:pPr>
            <a:r>
              <a:rPr lang="en-AU" sz="1000"/>
              <a:t>Disengagement - queuing v waiting</a:t>
            </a:r>
          </a:p>
        </c:rich>
      </c:tx>
      <c:layout>
        <c:manualLayout>
          <c:xMode val="edge"/>
          <c:yMode val="edge"/>
          <c:x val="0.30525142854093029"/>
          <c:y val="2.6907348950174013E-2"/>
        </c:manualLayout>
      </c:layout>
      <c:overlay val="0"/>
    </c:title>
    <c:autoTitleDeleted val="0"/>
    <c:plotArea>
      <c:layout>
        <c:manualLayout>
          <c:layoutTarget val="inner"/>
          <c:xMode val="edge"/>
          <c:yMode val="edge"/>
          <c:x val="0.1022158667819241"/>
          <c:y val="0.16615788373135801"/>
          <c:w val="0.85680096575633158"/>
          <c:h val="0.60777588055789655"/>
        </c:manualLayout>
      </c:layout>
      <c:barChart>
        <c:barDir val="bar"/>
        <c:grouping val="stacked"/>
        <c:varyColors val="0"/>
        <c:ser>
          <c:idx val="0"/>
          <c:order val="0"/>
          <c:tx>
            <c:strRef>
              <c:f>Data!$B$103</c:f>
              <c:strCache>
                <c:ptCount val="1"/>
                <c:pt idx="0">
                  <c:v>Queuing</c:v>
                </c:pt>
              </c:strCache>
            </c:strRef>
          </c:tx>
          <c:invertIfNegative val="0"/>
          <c:dLbls>
            <c:dLbl>
              <c:idx val="0"/>
              <c:layout>
                <c:manualLayout>
                  <c:x val="-2.3012287977668992E-17"/>
                  <c:y val="3.5502985046254591E-2"/>
                </c:manualLayout>
              </c:layout>
              <c:tx>
                <c:strRef>
                  <c:f>Data!$I$104</c:f>
                  <c:strCache>
                    <c:ptCount val="1"/>
                    <c:pt idx="0">
                      <c:v>0:07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{2B37E56E-64E4-4EA2-8DD0-FB7366DB9D7E}</c15:txfldGUID>
                      <c15:f>Data!$I$104</c15:f>
                      <c15:dlblFieldTableCache>
                        <c:ptCount val="1"/>
                        <c:pt idx="0">
                          <c:v>0:07
</c:v>
                        </c:pt>
                      </c15:dlblFieldTableCache>
                    </c15:dlblFTEntry>
                  </c15:dlblFieldTable>
                  <c15:showDataLabelsRange val="0"/>
                </c:ext>
                <c:ext xmlns:c16="http://schemas.microsoft.com/office/drawing/2014/chart" uri="{C3380CC4-5D6E-409C-BE32-E72D297353CC}">
                  <c16:uniqueId val="{00000000-3A6A-4ECF-8F7B-42B3A901A722}"/>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Data!$A$104:$A$105</c:f>
              <c:strCache>
                <c:ptCount val="2"/>
                <c:pt idx="0">
                  <c:v>Cohort</c:v>
                </c:pt>
                <c:pt idx="1">
                  <c:v>MHN</c:v>
                </c:pt>
              </c:strCache>
            </c:strRef>
          </c:cat>
          <c:val>
            <c:numRef>
              <c:f>Data!$B$104:$B$105</c:f>
              <c:numCache>
                <c:formatCode>mm:ss</c:formatCode>
                <c:ptCount val="2"/>
                <c:pt idx="0">
                  <c:v>7.6601257813868962E-5</c:v>
                </c:pt>
                <c:pt idx="1">
                  <c:v>0</c:v>
                </c:pt>
              </c:numCache>
            </c:numRef>
          </c:val>
          <c:extLst>
            <c:ext xmlns:c16="http://schemas.microsoft.com/office/drawing/2014/chart" uri="{C3380CC4-5D6E-409C-BE32-E72D297353CC}">
              <c16:uniqueId val="{00000002-3A6A-4ECF-8F7B-42B3A901A722}"/>
            </c:ext>
          </c:extLst>
        </c:ser>
        <c:ser>
          <c:idx val="1"/>
          <c:order val="1"/>
          <c:tx>
            <c:strRef>
              <c:f>Data!$C$103</c:f>
              <c:strCache>
                <c:ptCount val="1"/>
                <c:pt idx="0">
                  <c:v>Waiting</c:v>
                </c:pt>
              </c:strCache>
            </c:strRef>
          </c:tx>
          <c:invertIfNegative val="0"/>
          <c:dLbls>
            <c:dLbl>
              <c:idx val="0"/>
              <c:layout>
                <c:manualLayout>
                  <c:x val="-2.5104604164636387E-3"/>
                  <c:y val="3.5502985046254591E-2"/>
                </c:manualLayout>
              </c:layout>
              <c:tx>
                <c:strRef>
                  <c:f>Data!$J$104</c:f>
                  <c:strCache>
                    <c:ptCount val="1"/>
                    <c:pt idx="0">
                      <c:v>0:20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{1CD5F321-977D-4251-A1B8-45D7212C92A1}</c15:txfldGUID>
                      <c15:f>Data!$J$104</c15:f>
                      <c15:dlblFieldTableCache>
                        <c:ptCount val="1"/>
                        <c:pt idx="0">
                          <c:v>0:20
</c:v>
                        </c:pt>
                      </c15:dlblFieldTableCache>
                    </c15:dlblFTEntry>
                  </c15:dlblFieldTable>
                  <c15:showDataLabelsRange val="0"/>
                </c:ext>
                <c:ext xmlns:c16="http://schemas.microsoft.com/office/drawing/2014/chart" uri="{C3380CC4-5D6E-409C-BE32-E72D297353CC}">
                  <c16:uniqueId val="{00000003-3A6A-4ECF-8F7B-42B3A901A722}"/>
                </c:ext>
              </c:extLst>
            </c:dLbl>
            <c:dLbl>
              <c:idx val="1"/>
              <c:layout>
                <c:manualLayout>
                  <c:x val="1.935484362581754E-2"/>
                  <c:y val="3.5502985046254536E-2"/>
                </c:manualLayout>
              </c:layout>
              <c:tx>
                <c:strRef>
                  <c:f>Data!$J$105</c:f>
                  <c:strCache>
                    <c:ptCount val="1"/>
                    <c:pt idx="0">
                      <c:v>1:42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{6EA2D26B-0B11-4CE6-A948-BC7843CBB5AA}</c15:txfldGUID>
                      <c15:f>Data!$J$105</c15:f>
                      <c15:dlblFieldTableCache>
                        <c:ptCount val="1"/>
                        <c:pt idx="0">
                          <c:v>1:42
</c:v>
                        </c:pt>
                      </c15:dlblFieldTableCache>
                    </c15:dlblFTEntry>
                  </c15:dlblFieldTable>
                  <c15:showDataLabelsRange val="0"/>
                </c:ext>
                <c:ext xmlns:c16="http://schemas.microsoft.com/office/drawing/2014/chart" uri="{C3380CC4-5D6E-409C-BE32-E72D297353CC}">
                  <c16:uniqueId val="{00000000-A795-4549-88E6-6CDF5D7552B7}"/>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Data!$A$104:$A$105</c:f>
              <c:strCache>
                <c:ptCount val="2"/>
                <c:pt idx="0">
                  <c:v>Cohort</c:v>
                </c:pt>
                <c:pt idx="1">
                  <c:v>MHN</c:v>
                </c:pt>
              </c:strCache>
            </c:strRef>
          </c:cat>
          <c:val>
            <c:numRef>
              <c:f>Data!$C$104:$C$105</c:f>
              <c:numCache>
                <c:formatCode>mm:ss</c:formatCode>
                <c:ptCount val="2"/>
                <c:pt idx="0">
                  <c:v>2.3473446197864472E-4</c:v>
                </c:pt>
                <c:pt idx="1">
                  <c:v>1.1831275720164609E-3</c:v>
                </c:pt>
              </c:numCache>
            </c:numRef>
          </c:val>
          <c:extLst>
            <c:ext xmlns:c16="http://schemas.microsoft.com/office/drawing/2014/chart" uri="{C3380CC4-5D6E-409C-BE32-E72D297353CC}">
              <c16:uniqueId val="{00000005-3A6A-4ECF-8F7B-42B3A901A722}"/>
            </c:ext>
          </c:extLst>
        </c:ser>
        <c:dLbls>
          <c:showLegendKey val="0"/>
          <c:showVal val="0"/>
          <c:showCatName val="0"/>
          <c:showSerName val="0"/>
          <c:showPercent val="0"/>
          <c:showBubbleSize val="0"/>
        </c:dLbls>
        <c:gapWidth val="55"/>
        <c:overlap val="100"/>
        <c:axId val="77784576"/>
        <c:axId val="171108032"/>
      </c:barChart>
      <c:catAx>
        <c:axId val="77784576"/>
        <c:scaling>
          <c:orientation val="minMax"/>
        </c:scaling>
        <c:delete val="0"/>
        <c:axPos val="l"/>
        <c:numFmt formatCode="General" sourceLinked="0"/>
        <c:majorTickMark val="none"/>
        <c:minorTickMark val="none"/>
        <c:tickLblPos val="nextTo"/>
        <c:txPr>
          <a:bodyPr/>
          <a:lstStyle/>
          <a:p>
            <a:pPr>
              <a:defRPr sz="800"/>
            </a:pPr>
            <a:endParaRPr lang="en-US"/>
          </a:p>
        </c:txPr>
        <c:crossAx val="171108032"/>
        <c:crosses val="autoZero"/>
        <c:auto val="1"/>
        <c:lblAlgn val="ctr"/>
        <c:lblOffset val="100"/>
        <c:noMultiLvlLbl val="0"/>
      </c:catAx>
      <c:valAx>
        <c:axId val="171108032"/>
        <c:scaling>
          <c:orientation val="minMax"/>
        </c:scaling>
        <c:delete val="0"/>
        <c:axPos val="b"/>
        <c:numFmt formatCode="mm:ss" sourceLinked="1"/>
        <c:majorTickMark val="none"/>
        <c:minorTickMark val="none"/>
        <c:tickLblPos val="nextTo"/>
        <c:txPr>
          <a:bodyPr/>
          <a:lstStyle/>
          <a:p>
            <a:pPr>
              <a:defRPr sz="900"/>
            </a:pPr>
            <a:endParaRPr lang="en-US"/>
          </a:p>
        </c:txPr>
        <c:crossAx val="77784576"/>
        <c:crosses val="autoZero"/>
        <c:crossBetween val="between"/>
      </c:valAx>
    </c:plotArea>
    <c:legend>
      <c:legendPos val="b"/>
      <c:layout>
        <c:manualLayout>
          <c:xMode val="edge"/>
          <c:yMode val="edge"/>
          <c:x val="0.28475142293881101"/>
          <c:y val="0.88017658681570021"/>
          <c:w val="0.43049679756313097"/>
          <c:h val="0.11982341318429902"/>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50"/>
            </a:pPr>
            <a:r>
              <a:rPr lang="en-AU" sz="1050"/>
              <a:t>OTC</a:t>
            </a:r>
          </a:p>
        </c:rich>
      </c:tx>
      <c:overlay val="0"/>
    </c:title>
    <c:autoTitleDeleted val="0"/>
    <c:plotArea>
      <c:layout>
        <c:manualLayout>
          <c:layoutTarget val="inner"/>
          <c:xMode val="edge"/>
          <c:yMode val="edge"/>
          <c:x val="0.14120257170542092"/>
          <c:y val="0.32168721618021401"/>
          <c:w val="0.7949928774059678"/>
          <c:h val="0.32395049577136198"/>
        </c:manualLayout>
      </c:layout>
      <c:barChart>
        <c:barDir val="bar"/>
        <c:grouping val="stacked"/>
        <c:varyColors val="0"/>
        <c:ser>
          <c:idx val="1"/>
          <c:order val="0"/>
          <c:tx>
            <c:strRef>
              <c:f>Data!$A$214</c:f>
              <c:strCache>
                <c:ptCount val="1"/>
                <c:pt idx="0">
                  <c:v>Pharm</c:v>
                </c:pt>
              </c:strCache>
            </c:strRef>
          </c:tx>
          <c:spPr>
            <a:solidFill>
              <a:schemeClr val="accent1"/>
            </a:solidFill>
            <a:ln>
              <a:solidFill>
                <a:schemeClr val="accent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Data!$C$213</c:f>
              <c:strCache>
                <c:ptCount val="1"/>
                <c:pt idx="0">
                  <c:v>MHN</c:v>
                </c:pt>
              </c:strCache>
            </c:strRef>
          </c:cat>
          <c:val>
            <c:numRef>
              <c:f>Data!$C$214</c:f>
              <c:numCache>
                <c:formatCode>0%</c:formatCode>
                <c:ptCount val="1"/>
                <c:pt idx="0">
                  <c:v>0.31818181818181818</c:v>
                </c:pt>
              </c:numCache>
            </c:numRef>
          </c:val>
          <c:extLst>
            <c:ext xmlns:c16="http://schemas.microsoft.com/office/drawing/2014/chart" uri="{C3380CC4-5D6E-409C-BE32-E72D297353CC}">
              <c16:uniqueId val="{00000000-818C-4D72-8B03-92446424A3A8}"/>
            </c:ext>
          </c:extLst>
        </c:ser>
        <c:ser>
          <c:idx val="0"/>
          <c:order val="1"/>
          <c:tx>
            <c:strRef>
              <c:f>Data!$A$215</c:f>
              <c:strCache>
                <c:ptCount val="1"/>
                <c:pt idx="0">
                  <c:v>Tech</c:v>
                </c:pt>
              </c:strCache>
            </c:strRef>
          </c:tx>
          <c:spPr>
            <a:solidFill>
              <a:schemeClr val="accent2"/>
            </a:solidFill>
            <a:ln>
              <a:solidFill>
                <a:schemeClr val="accent2"/>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Data!$C$213</c:f>
              <c:strCache>
                <c:ptCount val="1"/>
                <c:pt idx="0">
                  <c:v>MHN</c:v>
                </c:pt>
              </c:strCache>
            </c:strRef>
          </c:cat>
          <c:val>
            <c:numRef>
              <c:f>Data!$C$215</c:f>
              <c:numCache>
                <c:formatCode>0%</c:formatCode>
                <c:ptCount val="1"/>
                <c:pt idx="0">
                  <c:v>0.31818181818181818</c:v>
                </c:pt>
              </c:numCache>
            </c:numRef>
          </c:val>
          <c:extLst>
            <c:ext xmlns:c16="http://schemas.microsoft.com/office/drawing/2014/chart" uri="{C3380CC4-5D6E-409C-BE32-E72D297353CC}">
              <c16:uniqueId val="{00000001-818C-4D72-8B03-92446424A3A8}"/>
            </c:ext>
          </c:extLst>
        </c:ser>
        <c:ser>
          <c:idx val="2"/>
          <c:order val="2"/>
          <c:tx>
            <c:strRef>
              <c:f>Data!$A$216</c:f>
              <c:strCache>
                <c:ptCount val="1"/>
                <c:pt idx="0">
                  <c:v>Other</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Data!$C$213</c:f>
              <c:strCache>
                <c:ptCount val="1"/>
                <c:pt idx="0">
                  <c:v>MHN</c:v>
                </c:pt>
              </c:strCache>
            </c:strRef>
          </c:cat>
          <c:val>
            <c:numRef>
              <c:f>Data!$C$216</c:f>
              <c:numCache>
                <c:formatCode>0%</c:formatCode>
                <c:ptCount val="1"/>
                <c:pt idx="0">
                  <c:v>0.36363636363636365</c:v>
                </c:pt>
              </c:numCache>
            </c:numRef>
          </c:val>
          <c:extLst>
            <c:ext xmlns:c16="http://schemas.microsoft.com/office/drawing/2014/chart" uri="{C3380CC4-5D6E-409C-BE32-E72D297353CC}">
              <c16:uniqueId val="{00000002-818C-4D72-8B03-92446424A3A8}"/>
            </c:ext>
          </c:extLst>
        </c:ser>
        <c:ser>
          <c:idx val="3"/>
          <c:order val="3"/>
          <c:tx>
            <c:strRef>
              <c:f>Data!$A$217</c:f>
              <c:strCache>
                <c:ptCount val="1"/>
                <c:pt idx="0">
                  <c:v>Student (pre reg)</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Data!$C$213</c:f>
              <c:strCache>
                <c:ptCount val="1"/>
                <c:pt idx="0">
                  <c:v>MHN</c:v>
                </c:pt>
              </c:strCache>
            </c:strRef>
          </c:cat>
          <c:val>
            <c:numRef>
              <c:f>Data!$C$217</c:f>
              <c:numCache>
                <c:formatCode>0%</c:formatCode>
                <c:ptCount val="1"/>
                <c:pt idx="0">
                  <c:v>0</c:v>
                </c:pt>
              </c:numCache>
            </c:numRef>
          </c:val>
          <c:extLst>
            <c:ext xmlns:c16="http://schemas.microsoft.com/office/drawing/2014/chart" uri="{C3380CC4-5D6E-409C-BE32-E72D297353CC}">
              <c16:uniqueId val="{00000003-818C-4D72-8B03-92446424A3A8}"/>
            </c:ext>
          </c:extLst>
        </c:ser>
        <c:dLbls>
          <c:showLegendKey val="0"/>
          <c:showVal val="0"/>
          <c:showCatName val="0"/>
          <c:showSerName val="0"/>
          <c:showPercent val="0"/>
          <c:showBubbleSize val="0"/>
        </c:dLbls>
        <c:gapWidth val="55"/>
        <c:overlap val="100"/>
        <c:axId val="77901312"/>
        <c:axId val="171110912"/>
      </c:barChart>
      <c:catAx>
        <c:axId val="77901312"/>
        <c:scaling>
          <c:orientation val="minMax"/>
        </c:scaling>
        <c:delete val="0"/>
        <c:axPos val="l"/>
        <c:numFmt formatCode="General" sourceLinked="0"/>
        <c:majorTickMark val="none"/>
        <c:minorTickMark val="none"/>
        <c:tickLblPos val="nextTo"/>
        <c:txPr>
          <a:bodyPr/>
          <a:lstStyle/>
          <a:p>
            <a:pPr>
              <a:defRPr sz="800"/>
            </a:pPr>
            <a:endParaRPr lang="en-US"/>
          </a:p>
        </c:txPr>
        <c:crossAx val="171110912"/>
        <c:crosses val="autoZero"/>
        <c:auto val="1"/>
        <c:lblAlgn val="ctr"/>
        <c:lblOffset val="100"/>
        <c:noMultiLvlLbl val="0"/>
      </c:catAx>
      <c:valAx>
        <c:axId val="171110912"/>
        <c:scaling>
          <c:orientation val="minMax"/>
          <c:max val="1"/>
          <c:min val="0"/>
        </c:scaling>
        <c:delete val="0"/>
        <c:axPos val="b"/>
        <c:majorGridlines/>
        <c:numFmt formatCode="0%" sourceLinked="1"/>
        <c:majorTickMark val="none"/>
        <c:minorTickMark val="none"/>
        <c:tickLblPos val="nextTo"/>
        <c:txPr>
          <a:bodyPr/>
          <a:lstStyle/>
          <a:p>
            <a:pPr>
              <a:defRPr sz="900"/>
            </a:pPr>
            <a:endParaRPr lang="en-US"/>
          </a:p>
        </c:txPr>
        <c:crossAx val="77901312"/>
        <c:crosses val="autoZero"/>
        <c:crossBetween val="between"/>
      </c:valAx>
    </c:plotArea>
    <c:legend>
      <c:legendPos val="r"/>
      <c:layout>
        <c:manualLayout>
          <c:xMode val="edge"/>
          <c:yMode val="edge"/>
          <c:x val="0.1514446631671042"/>
          <c:y val="0.86260024788568102"/>
          <c:w val="0.79022200349956262"/>
          <c:h val="9.412802566345875E-2"/>
        </c:manualLayout>
      </c:layout>
      <c:overlay val="0"/>
      <c:txPr>
        <a:bodyPr/>
        <a:lstStyle/>
        <a:p>
          <a:pPr>
            <a:defRPr sz="9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AU" sz="1000"/>
              <a:t>Engaged vs Disengaged</a:t>
            </a:r>
          </a:p>
        </c:rich>
      </c:tx>
      <c:layout>
        <c:manualLayout>
          <c:xMode val="edge"/>
          <c:yMode val="edge"/>
          <c:x val="0.39021458066533998"/>
          <c:y val="2.0671840233260956E-2"/>
        </c:manualLayout>
      </c:layout>
      <c:overlay val="0"/>
    </c:title>
    <c:autoTitleDeleted val="0"/>
    <c:plotArea>
      <c:layout>
        <c:manualLayout>
          <c:layoutTarget val="inner"/>
          <c:xMode val="edge"/>
          <c:yMode val="edge"/>
          <c:x val="0.11918630944078915"/>
          <c:y val="0.18745940913261339"/>
          <c:w val="0.78317065439283895"/>
          <c:h val="0.52966951641458482"/>
        </c:manualLayout>
      </c:layout>
      <c:barChart>
        <c:barDir val="bar"/>
        <c:grouping val="stacked"/>
        <c:varyColors val="0"/>
        <c:ser>
          <c:idx val="0"/>
          <c:order val="0"/>
          <c:tx>
            <c:strRef>
              <c:f>Data!$B$343</c:f>
              <c:strCache>
                <c:ptCount val="1"/>
                <c:pt idx="0">
                  <c:v>Engaged</c:v>
                </c:pt>
              </c:strCache>
            </c:strRef>
          </c:tx>
          <c:spPr>
            <a:solidFill>
              <a:schemeClr val="accent3">
                <a:lumMod val="75000"/>
              </a:schemeClr>
            </a:solidFill>
          </c:spPr>
          <c:invertIfNegative val="0"/>
          <c:dLbls>
            <c:dLbl>
              <c:idx val="0"/>
              <c:tx>
                <c:strRef>
                  <c:f>Data!$I$344</c:f>
                  <c:strCache>
                    <c:ptCount val="1"/>
                    <c:pt idx="0">
                      <c:v>00:10 (67%)</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{AABD9BEC-DE86-435B-BD48-834041AB12F9}</c15:txfldGUID>
                      <c15:f>Data!$I$344</c15:f>
                      <c15:dlblFieldTableCache>
                        <c:ptCount val="1"/>
                        <c:pt idx="0">
                          <c:v>00:10 (67%)</c:v>
                        </c:pt>
                      </c15:dlblFieldTableCache>
                    </c15:dlblFTEntry>
                  </c15:dlblFieldTable>
                  <c15:showDataLabelsRange val="1"/>
                </c:ext>
                <c:ext xmlns:c16="http://schemas.microsoft.com/office/drawing/2014/chart" uri="{C3380CC4-5D6E-409C-BE32-E72D297353CC}">
                  <c16:uniqueId val="{00000000-75DE-44FD-80C9-0EC2F6997560}"/>
                </c:ext>
              </c:extLst>
            </c:dLbl>
            <c:dLbl>
              <c:idx val="1"/>
              <c:tx>
                <c:strRef>
                  <c:f>Data!$I$345</c:f>
                  <c:strCache>
                    <c:ptCount val="1"/>
                    <c:pt idx="0">
                      <c:v>00:10 (67%)</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{77E1BB51-A921-42F4-A7C9-E94D4006888C}</c15:txfldGUID>
                      <c15:f>Data!$I$345</c15:f>
                      <c15:dlblFieldTableCache>
                        <c:ptCount val="1"/>
                        <c:pt idx="0">
                          <c:v>00:10 (67%)</c:v>
                        </c:pt>
                      </c15:dlblFieldTableCache>
                    </c15:dlblFTEntry>
                  </c15:dlblFieldTable>
                  <c15:showDataLabelsRange val="0"/>
                </c:ext>
                <c:ext xmlns:c16="http://schemas.microsoft.com/office/drawing/2014/chart" uri="{C3380CC4-5D6E-409C-BE32-E72D297353CC}">
                  <c16:uniqueId val="{00000001-75DE-44FD-80C9-0EC2F6997560}"/>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Data!$A$344:$A$345</c:f>
              <c:strCache>
                <c:ptCount val="2"/>
                <c:pt idx="0">
                  <c:v>Cohort</c:v>
                </c:pt>
                <c:pt idx="1">
                  <c:v>MHN</c:v>
                </c:pt>
              </c:strCache>
            </c:strRef>
          </c:cat>
          <c:val>
            <c:numRef>
              <c:f>Data!$B$344:$B$345</c:f>
              <c:numCache>
                <c:formatCode>mm:ss</c:formatCode>
                <c:ptCount val="2"/>
                <c:pt idx="0">
                  <c:v>1.1574074074074075E-4</c:v>
                </c:pt>
                <c:pt idx="1">
                  <c:v>1.1574074074074075E-4</c:v>
                </c:pt>
              </c:numCache>
            </c:numRef>
          </c:val>
          <c:extLst>
            <c:ext xmlns:c15="http://schemas.microsoft.com/office/drawing/2012/chart" uri="{02D57815-91ED-43cb-92C2-25804820EDAC}">
              <c15:datalabelsRange>
                <c15:f>Data!$I$84:$I$85</c15:f>
                <c15:dlblRangeCache>
                  <c:ptCount val="2"/>
                  <c:pt idx="0">
                    <c:v>01:49 (80%)</c:v>
                  </c:pt>
                  <c:pt idx="1">
                    <c:v>01:34 (48%)</c:v>
                  </c:pt>
                </c15:dlblRangeCache>
              </c15:datalabelsRange>
            </c:ext>
            <c:ext xmlns:c16="http://schemas.microsoft.com/office/drawing/2014/chart" uri="{C3380CC4-5D6E-409C-BE32-E72D297353CC}">
              <c16:uniqueId val="{00000002-75DE-44FD-80C9-0EC2F6997560}"/>
            </c:ext>
          </c:extLst>
        </c:ser>
        <c:ser>
          <c:idx val="1"/>
          <c:order val="1"/>
          <c:tx>
            <c:strRef>
              <c:f>Data!$C$343</c:f>
              <c:strCache>
                <c:ptCount val="1"/>
                <c:pt idx="0">
                  <c:v>Disengaged</c:v>
                </c:pt>
              </c:strCache>
            </c:strRef>
          </c:tx>
          <c:invertIfNegative val="0"/>
          <c:dLbls>
            <c:dLbl>
              <c:idx val="0"/>
              <c:tx>
                <c:strRef>
                  <c:f>Data!$J$344</c:f>
                  <c:strCache>
                    <c:ptCount val="1"/>
                    <c:pt idx="0">
                      <c:v>00:05 (33%)</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{FC74B01E-90CC-4B85-897F-22D6EBC911A9}</c15:txfldGUID>
                      <c15:f>Data!$J$344</c15:f>
                      <c15:dlblFieldTableCache>
                        <c:ptCount val="1"/>
                        <c:pt idx="0">
                          <c:v>00:05 (33%)</c:v>
                        </c:pt>
                      </c15:dlblFieldTableCache>
                    </c15:dlblFTEntry>
                  </c15:dlblFieldTable>
                  <c15:showDataLabelsRange val="1"/>
                </c:ext>
                <c:ext xmlns:c16="http://schemas.microsoft.com/office/drawing/2014/chart" uri="{C3380CC4-5D6E-409C-BE32-E72D297353CC}">
                  <c16:uniqueId val="{00000003-75DE-44FD-80C9-0EC2F6997560}"/>
                </c:ext>
              </c:extLst>
            </c:dLbl>
            <c:dLbl>
              <c:idx val="1"/>
              <c:layout>
                <c:manualLayout>
                  <c:x val="5.0847461020117135E-3"/>
                  <c:y val="0"/>
                </c:manualLayout>
              </c:layout>
              <c:tx>
                <c:strRef>
                  <c:f>Data!$J$345</c:f>
                  <c:strCache>
                    <c:ptCount val="1"/>
                    <c:pt idx="0">
                      <c:v>00:05 (33%)</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{CF07842A-F611-485E-9408-BA2B353D6261}</c15:txfldGUID>
                      <c15:f>Data!$J$345</c15:f>
                      <c15:dlblFieldTableCache>
                        <c:ptCount val="1"/>
                        <c:pt idx="0">
                          <c:v>00:05 (33%)</c:v>
                        </c:pt>
                      </c15:dlblFieldTableCache>
                    </c15:dlblFTEntry>
                  </c15:dlblFieldTable>
                  <c15:showDataLabelsRange val="1"/>
                </c:ext>
                <c:ext xmlns:c16="http://schemas.microsoft.com/office/drawing/2014/chart" uri="{C3380CC4-5D6E-409C-BE32-E72D297353CC}">
                  <c16:uniqueId val="{00000004-75DE-44FD-80C9-0EC2F6997560}"/>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Data!$A$344:$A$345</c:f>
              <c:strCache>
                <c:ptCount val="2"/>
                <c:pt idx="0">
                  <c:v>Cohort</c:v>
                </c:pt>
                <c:pt idx="1">
                  <c:v>MHN</c:v>
                </c:pt>
              </c:strCache>
            </c:strRef>
          </c:cat>
          <c:val>
            <c:numRef>
              <c:f>Data!$C$344:$C$345</c:f>
              <c:numCache>
                <c:formatCode>mm:ss</c:formatCode>
                <c:ptCount val="2"/>
                <c:pt idx="0">
                  <c:v>5.7870370370370373E-5</c:v>
                </c:pt>
                <c:pt idx="1">
                  <c:v>5.7870370370370373E-5</c:v>
                </c:pt>
              </c:numCache>
            </c:numRef>
          </c:val>
          <c:extLst>
            <c:ext xmlns:c15="http://schemas.microsoft.com/office/drawing/2012/chart" uri="{02D57815-91ED-43cb-92C2-25804820EDAC}">
              <c15:datalabelsRange>
                <c15:f>Data!$J$84:$J$85</c15:f>
                <c15:dlblRangeCache>
                  <c:ptCount val="2"/>
                  <c:pt idx="0">
                    <c:v>00:27 (20%)</c:v>
                  </c:pt>
                  <c:pt idx="1">
                    <c:v>01:42 (52%)</c:v>
                  </c:pt>
                </c15:dlblRangeCache>
              </c15:datalabelsRange>
            </c:ext>
            <c:ext xmlns:c16="http://schemas.microsoft.com/office/drawing/2014/chart" uri="{C3380CC4-5D6E-409C-BE32-E72D297353CC}">
              <c16:uniqueId val="{00000005-75DE-44FD-80C9-0EC2F6997560}"/>
            </c:ext>
          </c:extLst>
        </c:ser>
        <c:dLbls>
          <c:showLegendKey val="0"/>
          <c:showVal val="0"/>
          <c:showCatName val="0"/>
          <c:showSerName val="0"/>
          <c:showPercent val="0"/>
          <c:showBubbleSize val="0"/>
        </c:dLbls>
        <c:gapWidth val="55"/>
        <c:overlap val="100"/>
        <c:axId val="78239744"/>
        <c:axId val="211261632"/>
      </c:barChart>
      <c:catAx>
        <c:axId val="78239744"/>
        <c:scaling>
          <c:orientation val="minMax"/>
        </c:scaling>
        <c:delete val="0"/>
        <c:axPos val="l"/>
        <c:numFmt formatCode="General" sourceLinked="0"/>
        <c:majorTickMark val="none"/>
        <c:minorTickMark val="none"/>
        <c:tickLblPos val="nextTo"/>
        <c:txPr>
          <a:bodyPr/>
          <a:lstStyle/>
          <a:p>
            <a:pPr>
              <a:defRPr sz="800"/>
            </a:pPr>
            <a:endParaRPr lang="en-US"/>
          </a:p>
        </c:txPr>
        <c:crossAx val="211261632"/>
        <c:crosses val="autoZero"/>
        <c:auto val="1"/>
        <c:lblAlgn val="ctr"/>
        <c:lblOffset val="100"/>
        <c:noMultiLvlLbl val="0"/>
      </c:catAx>
      <c:valAx>
        <c:axId val="211261632"/>
        <c:scaling>
          <c:orientation val="minMax"/>
        </c:scaling>
        <c:delete val="0"/>
        <c:axPos val="b"/>
        <c:title>
          <c:tx>
            <c:rich>
              <a:bodyPr/>
              <a:lstStyle/>
              <a:p>
                <a:pPr>
                  <a:defRPr sz="900"/>
                </a:pPr>
                <a:r>
                  <a:rPr lang="en-IN" sz="900" b="1" i="0" u="none" strike="noStrike" baseline="0">
                    <a:effectLst/>
                  </a:rPr>
                  <a:t>time (min:sec)</a:t>
                </a:r>
                <a:endParaRPr lang="en-IN" sz="900"/>
              </a:p>
            </c:rich>
          </c:tx>
          <c:layout>
            <c:manualLayout>
              <c:xMode val="edge"/>
              <c:yMode val="edge"/>
              <c:x val="0.84693052495198951"/>
              <c:y val="2.1180924939666487E-2"/>
            </c:manualLayout>
          </c:layout>
          <c:overlay val="0"/>
        </c:title>
        <c:numFmt formatCode="mm:ss" sourceLinked="1"/>
        <c:majorTickMark val="none"/>
        <c:minorTickMark val="none"/>
        <c:tickLblPos val="nextTo"/>
        <c:txPr>
          <a:bodyPr/>
          <a:lstStyle/>
          <a:p>
            <a:pPr>
              <a:defRPr sz="900"/>
            </a:pPr>
            <a:endParaRPr lang="en-US"/>
          </a:p>
        </c:txPr>
        <c:crossAx val="78239744"/>
        <c:crosses val="autoZero"/>
        <c:crossBetween val="between"/>
      </c:valAx>
    </c:plotArea>
    <c:legend>
      <c:legendPos val="r"/>
      <c:layout>
        <c:manualLayout>
          <c:xMode val="edge"/>
          <c:yMode val="edge"/>
          <c:x val="0.26776793459014575"/>
          <c:y val="0.84114972840004665"/>
          <c:w val="0.4288614993234699"/>
          <c:h val="0.111963712227528"/>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000"/>
            </a:pPr>
            <a:r>
              <a:rPr lang="en-AU" sz="1000"/>
              <a:t>Visit engagement effectiveness</a:t>
            </a:r>
          </a:p>
        </c:rich>
      </c:tx>
      <c:layout>
        <c:manualLayout>
          <c:xMode val="edge"/>
          <c:yMode val="edge"/>
          <c:x val="0.225373623564466"/>
          <c:y val="2.0671738066640046E-2"/>
        </c:manualLayout>
      </c:layout>
      <c:overlay val="0"/>
    </c:title>
    <c:autoTitleDeleted val="0"/>
    <c:plotArea>
      <c:layout>
        <c:manualLayout>
          <c:layoutTarget val="inner"/>
          <c:xMode val="edge"/>
          <c:yMode val="edge"/>
          <c:x val="9.8905237515411693E-2"/>
          <c:y val="0.11031146852042385"/>
          <c:w val="0.86143898261838003"/>
          <c:h val="0.64889781307691918"/>
        </c:manualLayout>
      </c:layout>
      <c:barChart>
        <c:barDir val="bar"/>
        <c:grouping val="stacked"/>
        <c:varyColors val="0"/>
        <c:ser>
          <c:idx val="0"/>
          <c:order val="0"/>
          <c:tx>
            <c:strRef>
              <c:f>Data!$B$353</c:f>
              <c:strCache>
                <c:ptCount val="1"/>
                <c:pt idx="0">
                  <c:v>PSS</c:v>
                </c:pt>
              </c:strCache>
            </c:strRef>
          </c:tx>
          <c:invertIfNegative val="0"/>
          <c:dLbls>
            <c:dLbl>
              <c:idx val="0"/>
              <c:layout>
                <c:manualLayout>
                  <c:x val="2.4439916965863363E-3"/>
                  <c:y val="3.5481936900264424E-2"/>
                </c:manualLayout>
              </c:layout>
              <c:tx>
                <c:strRef>
                  <c:f>Data!$Q$354</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{FAFCAB68-4C2F-45EF-9607-03182C6E757B}</c15:txfldGUID>
                      <c15:f>Data!$Q$354</c15:f>
                      <c15:dlblFieldTableCache>
                        <c:ptCount val="1"/>
                        <c:pt idx="0">
                          <c:v>0:00
</c:v>
                        </c:pt>
                      </c15:dlblFieldTableCache>
                    </c15:dlblFTEntry>
                  </c15:dlblFieldTable>
                  <c15:showDataLabelsRange val="0"/>
                </c:ext>
                <c:ext xmlns:c16="http://schemas.microsoft.com/office/drawing/2014/chart" uri="{C3380CC4-5D6E-409C-BE32-E72D297353CC}">
                  <c16:uniqueId val="{00000000-FFB3-4111-A391-6913D83512B9}"/>
                </c:ext>
              </c:extLst>
            </c:dLbl>
            <c:dLbl>
              <c:idx val="1"/>
              <c:layout>
                <c:manualLayout>
                  <c:x val="-4.887983393172644E-3"/>
                  <c:y val="3.548193690026448E-2"/>
                </c:manualLayout>
              </c:layout>
              <c:tx>
                <c:strRef>
                  <c:f>Data!$Q$355</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{3BE8519B-8025-431D-9870-77A7821B887E}</c15:txfldGUID>
                      <c15:f>Data!$Q$355</c15:f>
                      <c15:dlblFieldTableCache>
                        <c:ptCount val="1"/>
                        <c:pt idx="0">
                          <c:v>0:00
</c:v>
                        </c:pt>
                      </c15:dlblFieldTableCache>
                    </c15:dlblFTEntry>
                  </c15:dlblFieldTable>
                  <c15:showDataLabelsRange val="0"/>
                </c:ext>
                <c:ext xmlns:c16="http://schemas.microsoft.com/office/drawing/2014/chart" uri="{C3380CC4-5D6E-409C-BE32-E72D297353CC}">
                  <c16:uniqueId val="{00000001-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Data!$A$354:$A$355</c:f>
              <c:strCache>
                <c:ptCount val="2"/>
                <c:pt idx="0">
                  <c:v>Cohort</c:v>
                </c:pt>
                <c:pt idx="1">
                  <c:v>MHN</c:v>
                </c:pt>
              </c:strCache>
            </c:strRef>
          </c:cat>
          <c:val>
            <c:numRef>
              <c:f>Data!$B$354:$B$355</c:f>
              <c:numCache>
                <c:formatCode>mm:ss</c:formatCode>
                <c:ptCount val="2"/>
                <c:pt idx="0">
                  <c:v>0</c:v>
                </c:pt>
                <c:pt idx="1">
                  <c:v>0</c:v>
                </c:pt>
              </c:numCache>
            </c:numRef>
          </c:val>
          <c:extLst>
            <c:ext xmlns:c16="http://schemas.microsoft.com/office/drawing/2014/chart" uri="{C3380CC4-5D6E-409C-BE32-E72D297353CC}">
              <c16:uniqueId val="{00000002-FFB3-4111-A391-6913D83512B9}"/>
            </c:ext>
          </c:extLst>
        </c:ser>
        <c:ser>
          <c:idx val="1"/>
          <c:order val="1"/>
          <c:tx>
            <c:strRef>
              <c:f>Data!$C$353</c:f>
              <c:strCache>
                <c:ptCount val="1"/>
                <c:pt idx="0">
                  <c:v>PHC</c:v>
                </c:pt>
              </c:strCache>
            </c:strRef>
          </c:tx>
          <c:invertIfNegative val="0"/>
          <c:dLbls>
            <c:dLbl>
              <c:idx val="0"/>
              <c:layout>
                <c:manualLayout>
                  <c:x val="2.2402998417358554E-17"/>
                  <c:y val="3.5481378129604647E-2"/>
                </c:manualLayout>
              </c:layout>
              <c:tx>
                <c:strRef>
                  <c:f>Data!$R$354</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{FC526F3E-8EB3-404A-9462-94A124BFEE1F}</c15:txfldGUID>
                      <c15:f>Data!$R$354</c15:f>
                      <c15:dlblFieldTableCache>
                        <c:ptCount val="1"/>
                        <c:pt idx="0">
                          <c:v>0:00
</c:v>
                        </c:pt>
                      </c15:dlblFieldTableCache>
                    </c15:dlblFTEntry>
                  </c15:dlblFieldTable>
                  <c15:showDataLabelsRange val="0"/>
                </c:ext>
                <c:ext xmlns:c16="http://schemas.microsoft.com/office/drawing/2014/chart" uri="{C3380CC4-5D6E-409C-BE32-E72D297353CC}">
                  <c16:uniqueId val="{00000003-FFB3-4111-A391-6913D83512B9}"/>
                </c:ext>
              </c:extLst>
            </c:dLbl>
            <c:dLbl>
              <c:idx val="1"/>
              <c:layout>
                <c:manualLayout>
                  <c:x val="2.2402998417358554E-17"/>
                  <c:y val="2.8385549520211582E-2"/>
                </c:manualLayout>
              </c:layout>
              <c:tx>
                <c:strRef>
                  <c:f>Data!$R$355</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{00203151-6468-4511-9E35-B6D825DF86E6}</c15:txfldGUID>
                      <c15:f>Data!$R$355</c15:f>
                      <c15:dlblFieldTableCache>
                        <c:ptCount val="1"/>
                        <c:pt idx="0">
                          <c:v>0:00
</c:v>
                        </c:pt>
                      </c15:dlblFieldTableCache>
                    </c15:dlblFTEntry>
                  </c15:dlblFieldTable>
                  <c15:showDataLabelsRange val="0"/>
                </c:ext>
                <c:ext xmlns:c16="http://schemas.microsoft.com/office/drawing/2014/chart" uri="{C3380CC4-5D6E-409C-BE32-E72D297353CC}">
                  <c16:uniqueId val="{00000004-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Data!$A$354:$A$355</c:f>
              <c:strCache>
                <c:ptCount val="2"/>
                <c:pt idx="0">
                  <c:v>Cohort</c:v>
                </c:pt>
                <c:pt idx="1">
                  <c:v>MHN</c:v>
                </c:pt>
              </c:strCache>
            </c:strRef>
          </c:cat>
          <c:val>
            <c:numRef>
              <c:f>Data!$C$354:$C$355</c:f>
              <c:numCache>
                <c:formatCode>mm:ss</c:formatCode>
                <c:ptCount val="2"/>
                <c:pt idx="0">
                  <c:v>0</c:v>
                </c:pt>
                <c:pt idx="1">
                  <c:v>0</c:v>
                </c:pt>
              </c:numCache>
            </c:numRef>
          </c:val>
          <c:extLst>
            <c:ext xmlns:c16="http://schemas.microsoft.com/office/drawing/2014/chart" uri="{C3380CC4-5D6E-409C-BE32-E72D297353CC}">
              <c16:uniqueId val="{00000005-FFB3-4111-A391-6913D83512B9}"/>
            </c:ext>
          </c:extLst>
        </c:ser>
        <c:ser>
          <c:idx val="2"/>
          <c:order val="2"/>
          <c:tx>
            <c:strRef>
              <c:f>Data!$D$353</c:f>
              <c:strCache>
                <c:ptCount val="1"/>
                <c:pt idx="0">
                  <c:v>PMC</c:v>
                </c:pt>
              </c:strCache>
            </c:strRef>
          </c:tx>
          <c:invertIfNegative val="0"/>
          <c:dLbls>
            <c:dLbl>
              <c:idx val="0"/>
              <c:layout>
                <c:manualLayout>
                  <c:x val="0"/>
                  <c:y val="3.5481378129604647E-2"/>
                </c:manualLayout>
              </c:layout>
              <c:tx>
                <c:strRef>
                  <c:f>Data!$S$354</c:f>
                  <c:strCache>
                    <c:ptCount val="1"/>
                    <c:pt idx="0">
                      <c:v>0:05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{255878DB-F211-49B8-AF3A-B02BA26CA293}</c15:txfldGUID>
                      <c15:f>Data!$S$354</c15:f>
                      <c15:dlblFieldTableCache>
                        <c:ptCount val="1"/>
                        <c:pt idx="0">
                          <c:v>0:05
</c:v>
                        </c:pt>
                      </c15:dlblFieldTableCache>
                    </c15:dlblFTEntry>
                  </c15:dlblFieldTable>
                  <c15:showDataLabelsRange val="0"/>
                </c:ext>
                <c:ext xmlns:c16="http://schemas.microsoft.com/office/drawing/2014/chart" uri="{C3380CC4-5D6E-409C-BE32-E72D297353CC}">
                  <c16:uniqueId val="{00000006-FFB3-4111-A391-6913D83512B9}"/>
                </c:ext>
              </c:extLst>
            </c:dLbl>
            <c:dLbl>
              <c:idx val="1"/>
              <c:layout>
                <c:manualLayout>
                  <c:x val="0"/>
                  <c:y val="2.8385549520211585E-2"/>
                </c:manualLayout>
              </c:layout>
              <c:tx>
                <c:strRef>
                  <c:f>Data!$S$355</c:f>
                  <c:strCache>
                    <c:ptCount val="1"/>
                    <c:pt idx="0">
                      <c:v>0:05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{3F6D9234-1585-44B1-98D3-F09D97652A4E}</c15:txfldGUID>
                      <c15:f>Data!$S$355</c15:f>
                      <c15:dlblFieldTableCache>
                        <c:ptCount val="1"/>
                        <c:pt idx="0">
                          <c:v>0:05
</c:v>
                        </c:pt>
                      </c15:dlblFieldTableCache>
                    </c15:dlblFTEntry>
                  </c15:dlblFieldTable>
                  <c15:showDataLabelsRange val="0"/>
                </c:ext>
                <c:ext xmlns:c16="http://schemas.microsoft.com/office/drawing/2014/chart" uri="{C3380CC4-5D6E-409C-BE32-E72D297353CC}">
                  <c16:uniqueId val="{00000007-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Data!$A$354:$A$355</c:f>
              <c:strCache>
                <c:ptCount val="2"/>
                <c:pt idx="0">
                  <c:v>Cohort</c:v>
                </c:pt>
                <c:pt idx="1">
                  <c:v>MHN</c:v>
                </c:pt>
              </c:strCache>
            </c:strRef>
          </c:cat>
          <c:val>
            <c:numRef>
              <c:f>Data!$D$354:$D$355</c:f>
              <c:numCache>
                <c:formatCode>mm:ss</c:formatCode>
                <c:ptCount val="2"/>
                <c:pt idx="0">
                  <c:v>5.7870370370370373E-5</c:v>
                </c:pt>
                <c:pt idx="1">
                  <c:v>5.7870370370370373E-5</c:v>
                </c:pt>
              </c:numCache>
            </c:numRef>
          </c:val>
          <c:extLst>
            <c:ext xmlns:c16="http://schemas.microsoft.com/office/drawing/2014/chart" uri="{C3380CC4-5D6E-409C-BE32-E72D297353CC}">
              <c16:uniqueId val="{00000008-FFB3-4111-A391-6913D83512B9}"/>
            </c:ext>
          </c:extLst>
        </c:ser>
        <c:ser>
          <c:idx val="3"/>
          <c:order val="3"/>
          <c:tx>
            <c:strRef>
              <c:f>Data!$E$353</c:f>
              <c:strCache>
                <c:ptCount val="1"/>
                <c:pt idx="0">
                  <c:v>RC</c:v>
                </c:pt>
              </c:strCache>
            </c:strRef>
          </c:tx>
          <c:invertIfNegative val="0"/>
          <c:dLbls>
            <c:dLbl>
              <c:idx val="0"/>
              <c:layout>
                <c:manualLayout>
                  <c:x val="0"/>
                  <c:y val="3.5481378129604661E-2"/>
                </c:manualLayout>
              </c:layout>
              <c:tx>
                <c:strRef>
                  <c:f>Data!$T$354</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{2A57293D-B8FF-4BBC-B85E-D7EA27D63191}</c15:txfldGUID>
                      <c15:f>Data!$T$354</c15:f>
                      <c15:dlblFieldTableCache>
                        <c:ptCount val="1"/>
                        <c:pt idx="0">
                          <c:v>0:00
</c:v>
                        </c:pt>
                      </c15:dlblFieldTableCache>
                    </c15:dlblFTEntry>
                  </c15:dlblFieldTable>
                  <c15:showDataLabelsRange val="0"/>
                </c:ext>
                <c:ext xmlns:c16="http://schemas.microsoft.com/office/drawing/2014/chart" uri="{C3380CC4-5D6E-409C-BE32-E72D297353CC}">
                  <c16:uniqueId val="{00000009-FFB3-4111-A391-6913D83512B9}"/>
                </c:ext>
              </c:extLst>
            </c:dLbl>
            <c:dLbl>
              <c:idx val="1"/>
              <c:layout>
                <c:manualLayout>
                  <c:x val="9.7759667863452915E-3"/>
                  <c:y val="2.8385549520211585E-2"/>
                </c:manualLayout>
              </c:layout>
              <c:tx>
                <c:strRef>
                  <c:f>Data!$T$355</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{4EFB8B49-6612-4AA4-86AB-4772C3C88165}</c15:txfldGUID>
                      <c15:f>Data!$T$355</c15:f>
                      <c15:dlblFieldTableCache>
                        <c:ptCount val="1"/>
                        <c:pt idx="0">
                          <c:v>0:00
</c:v>
                        </c:pt>
                      </c15:dlblFieldTableCache>
                    </c15:dlblFTEntry>
                  </c15:dlblFieldTable>
                  <c15:showDataLabelsRange val="0"/>
                </c:ext>
                <c:ext xmlns:c16="http://schemas.microsoft.com/office/drawing/2014/chart" uri="{C3380CC4-5D6E-409C-BE32-E72D297353CC}">
                  <c16:uniqueId val="{0000000A-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Data!$A$354:$A$355</c:f>
              <c:strCache>
                <c:ptCount val="2"/>
                <c:pt idx="0">
                  <c:v>Cohort</c:v>
                </c:pt>
                <c:pt idx="1">
                  <c:v>MHN</c:v>
                </c:pt>
              </c:strCache>
            </c:strRef>
          </c:cat>
          <c:val>
            <c:numRef>
              <c:f>Data!$E$354:$E$355</c:f>
              <c:numCache>
                <c:formatCode>mm:ss</c:formatCode>
                <c:ptCount val="2"/>
                <c:pt idx="0">
                  <c:v>0</c:v>
                </c:pt>
                <c:pt idx="1">
                  <c:v>0</c:v>
                </c:pt>
              </c:numCache>
            </c:numRef>
          </c:val>
          <c:extLst>
            <c:ext xmlns:c16="http://schemas.microsoft.com/office/drawing/2014/chart" uri="{C3380CC4-5D6E-409C-BE32-E72D297353CC}">
              <c16:uniqueId val="{0000000B-FFB3-4111-A391-6913D83512B9}"/>
            </c:ext>
          </c:extLst>
        </c:ser>
        <c:ser>
          <c:idx val="4"/>
          <c:order val="4"/>
          <c:tx>
            <c:strRef>
              <c:f>Data!$F$353</c:f>
              <c:strCache>
                <c:ptCount val="1"/>
                <c:pt idx="0">
                  <c:v>VN</c:v>
                </c:pt>
              </c:strCache>
            </c:strRef>
          </c:tx>
          <c:invertIfNegative val="0"/>
          <c:dLbls>
            <c:dLbl>
              <c:idx val="0"/>
              <c:layout>
                <c:manualLayout>
                  <c:x val="0"/>
                  <c:y val="3.5481936900264424E-2"/>
                </c:manualLayout>
              </c:layout>
              <c:tx>
                <c:strRef>
                  <c:f>Data!$U$354</c:f>
                  <c:strCache>
                    <c:ptCount val="1"/>
                    <c:pt idx="0">
                      <c:v>0:05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{EDBC31CF-8F1F-4A22-AFAC-51A82F2651BB}</c15:txfldGUID>
                      <c15:f>Data!$U$354</c15:f>
                      <c15:dlblFieldTableCache>
                        <c:ptCount val="1"/>
                        <c:pt idx="0">
                          <c:v>0:05
</c:v>
                        </c:pt>
                      </c15:dlblFieldTableCache>
                    </c15:dlblFTEntry>
                  </c15:dlblFieldTable>
                  <c15:showDataLabelsRange val="0"/>
                </c:ext>
                <c:ext xmlns:c16="http://schemas.microsoft.com/office/drawing/2014/chart" uri="{C3380CC4-5D6E-409C-BE32-E72D297353CC}">
                  <c16:uniqueId val="{0000000C-FFB3-4111-A391-6913D83512B9}"/>
                </c:ext>
              </c:extLst>
            </c:dLbl>
            <c:dLbl>
              <c:idx val="1"/>
              <c:layout>
                <c:manualLayout>
                  <c:x val="0"/>
                  <c:y val="3.5481936900264487E-2"/>
                </c:manualLayout>
              </c:layout>
              <c:tx>
                <c:strRef>
                  <c:f>Data!$U$355</c:f>
                  <c:strCache>
                    <c:ptCount val="1"/>
                    <c:pt idx="0">
                      <c:v>0:05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{0626D4DE-E646-497B-BABD-F5A86B17B329}</c15:txfldGUID>
                      <c15:f>Data!$U$355</c15:f>
                      <c15:dlblFieldTableCache>
                        <c:ptCount val="1"/>
                        <c:pt idx="0">
                          <c:v>0:05
</c:v>
                        </c:pt>
                      </c15:dlblFieldTableCache>
                    </c15:dlblFTEntry>
                  </c15:dlblFieldTable>
                  <c15:showDataLabelsRange val="0"/>
                </c:ext>
                <c:ext xmlns:c16="http://schemas.microsoft.com/office/drawing/2014/chart" uri="{C3380CC4-5D6E-409C-BE32-E72D297353CC}">
                  <c16:uniqueId val="{0000000D-FFB3-4111-A391-6913D83512B9}"/>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Data!$A$354:$A$355</c:f>
              <c:strCache>
                <c:ptCount val="2"/>
                <c:pt idx="0">
                  <c:v>Cohort</c:v>
                </c:pt>
                <c:pt idx="1">
                  <c:v>MHN</c:v>
                </c:pt>
              </c:strCache>
            </c:strRef>
          </c:cat>
          <c:val>
            <c:numRef>
              <c:f>Data!$F$354:$F$355</c:f>
              <c:numCache>
                <c:formatCode>mm:ss</c:formatCode>
                <c:ptCount val="2"/>
                <c:pt idx="0">
                  <c:v>5.7870370370370373E-5</c:v>
                </c:pt>
                <c:pt idx="1">
                  <c:v>5.7870370370370373E-5</c:v>
                </c:pt>
              </c:numCache>
            </c:numRef>
          </c:val>
          <c:extLst>
            <c:ext xmlns:c16="http://schemas.microsoft.com/office/drawing/2014/chart" uri="{C3380CC4-5D6E-409C-BE32-E72D297353CC}">
              <c16:uniqueId val="{0000000E-FFB3-4111-A391-6913D83512B9}"/>
            </c:ext>
          </c:extLst>
        </c:ser>
        <c:dLbls>
          <c:showLegendKey val="0"/>
          <c:showVal val="0"/>
          <c:showCatName val="0"/>
          <c:showSerName val="0"/>
          <c:showPercent val="0"/>
          <c:showBubbleSize val="0"/>
        </c:dLbls>
        <c:gapWidth val="55"/>
        <c:overlap val="100"/>
        <c:axId val="78328320"/>
        <c:axId val="171113216"/>
      </c:barChart>
      <c:catAx>
        <c:axId val="78328320"/>
        <c:scaling>
          <c:orientation val="minMax"/>
        </c:scaling>
        <c:delete val="0"/>
        <c:axPos val="l"/>
        <c:numFmt formatCode="General" sourceLinked="0"/>
        <c:majorTickMark val="none"/>
        <c:minorTickMark val="none"/>
        <c:tickLblPos val="nextTo"/>
        <c:txPr>
          <a:bodyPr/>
          <a:lstStyle/>
          <a:p>
            <a:pPr>
              <a:defRPr sz="800"/>
            </a:pPr>
            <a:endParaRPr lang="en-US"/>
          </a:p>
        </c:txPr>
        <c:crossAx val="171113216"/>
        <c:crosses val="autoZero"/>
        <c:auto val="1"/>
        <c:lblAlgn val="ctr"/>
        <c:lblOffset val="100"/>
        <c:noMultiLvlLbl val="0"/>
      </c:catAx>
      <c:valAx>
        <c:axId val="171113216"/>
        <c:scaling>
          <c:orientation val="minMax"/>
        </c:scaling>
        <c:delete val="0"/>
        <c:axPos val="b"/>
        <c:numFmt formatCode="mm:ss" sourceLinked="1"/>
        <c:majorTickMark val="none"/>
        <c:minorTickMark val="none"/>
        <c:tickLblPos val="nextTo"/>
        <c:txPr>
          <a:bodyPr/>
          <a:lstStyle/>
          <a:p>
            <a:pPr>
              <a:defRPr sz="900"/>
            </a:pPr>
            <a:endParaRPr lang="en-US"/>
          </a:p>
        </c:txPr>
        <c:crossAx val="78328320"/>
        <c:crosses val="autoZero"/>
        <c:crossBetween val="between"/>
      </c:valAx>
    </c:plotArea>
    <c:legend>
      <c:legendPos val="b"/>
      <c:layout>
        <c:manualLayout>
          <c:xMode val="edge"/>
          <c:yMode val="edge"/>
          <c:x val="0.19850873552097026"/>
          <c:y val="0.88164737418468864"/>
          <c:w val="0.60298252895805959"/>
          <c:h val="0.118352625815312"/>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sz="1000"/>
            </a:pPr>
            <a:r>
              <a:rPr lang="en-AU" sz="1000"/>
              <a:t>Disengagement - queuing v waiting</a:t>
            </a:r>
          </a:p>
        </c:rich>
      </c:tx>
      <c:layout>
        <c:manualLayout>
          <c:xMode val="edge"/>
          <c:yMode val="edge"/>
          <c:x val="0.30525142854093029"/>
          <c:y val="2.6907348950174013E-2"/>
        </c:manualLayout>
      </c:layout>
      <c:overlay val="0"/>
    </c:title>
    <c:autoTitleDeleted val="0"/>
    <c:plotArea>
      <c:layout>
        <c:manualLayout>
          <c:layoutTarget val="inner"/>
          <c:xMode val="edge"/>
          <c:yMode val="edge"/>
          <c:x val="0.1022158667819241"/>
          <c:y val="0.16615788373135801"/>
          <c:w val="0.85680096575633158"/>
          <c:h val="0.60777588055789655"/>
        </c:manualLayout>
      </c:layout>
      <c:barChart>
        <c:barDir val="bar"/>
        <c:grouping val="stacked"/>
        <c:varyColors val="0"/>
        <c:ser>
          <c:idx val="0"/>
          <c:order val="0"/>
          <c:tx>
            <c:strRef>
              <c:f>Data!$B$363</c:f>
              <c:strCache>
                <c:ptCount val="1"/>
                <c:pt idx="0">
                  <c:v>Queuing  (pre-engagement)</c:v>
                </c:pt>
              </c:strCache>
            </c:strRef>
          </c:tx>
          <c:invertIfNegative val="0"/>
          <c:dLbls>
            <c:dLbl>
              <c:idx val="0"/>
              <c:layout>
                <c:manualLayout>
                  <c:x val="-2.3012287977668992E-17"/>
                  <c:y val="3.5502985046254591E-2"/>
                </c:manualLayout>
              </c:layout>
              <c:tx>
                <c:strRef>
                  <c:f>Data!$I$364</c:f>
                  <c:strCache>
                    <c:ptCount val="1"/>
                    <c:pt idx="0">
                      <c:v>0:05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{B51F7F07-D91C-41BD-B0B2-BC6550906520}</c15:txfldGUID>
                      <c15:f>Data!$I$364</c15:f>
                      <c15:dlblFieldTableCache>
                        <c:ptCount val="1"/>
                        <c:pt idx="0">
                          <c:v>0:05
</c:v>
                        </c:pt>
                      </c15:dlblFieldTableCache>
                    </c15:dlblFTEntry>
                  </c15:dlblFieldTable>
                  <c15:showDataLabelsRange val="0"/>
                </c:ext>
                <c:ext xmlns:c16="http://schemas.microsoft.com/office/drawing/2014/chart" uri="{C3380CC4-5D6E-409C-BE32-E72D297353CC}">
                  <c16:uniqueId val="{00000000-3A6A-4ECF-8F7B-42B3A901A722}"/>
                </c:ext>
              </c:extLst>
            </c:dLbl>
            <c:dLbl>
              <c:idx val="1"/>
              <c:layout>
                <c:manualLayout>
                  <c:x val="2.5104604164636387E-3"/>
                  <c:y val="3.5502985046254543E-2"/>
                </c:manualLayout>
              </c:layout>
              <c:tx>
                <c:strRef>
                  <c:f>Data!$I$365</c:f>
                  <c:strCache>
                    <c:ptCount val="1"/>
                    <c:pt idx="0">
                      <c:v>0:05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{67E83877-AA50-45F3-809A-D1CD63A5C303}</c15:txfldGUID>
                      <c15:f>Data!$I$365</c15:f>
                      <c15:dlblFieldTableCache>
                        <c:ptCount val="1"/>
                        <c:pt idx="0">
                          <c:v>0:05
</c:v>
                        </c:pt>
                      </c15:dlblFieldTableCache>
                    </c15:dlblFTEntry>
                  </c15:dlblFieldTable>
                  <c15:showDataLabelsRange val="0"/>
                </c:ext>
                <c:ext xmlns:c16="http://schemas.microsoft.com/office/drawing/2014/chart" uri="{C3380CC4-5D6E-409C-BE32-E72D297353CC}">
                  <c16:uniqueId val="{00000001-3A6A-4ECF-8F7B-42B3A901A722}"/>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Data!$A$364:$A$365</c:f>
              <c:strCache>
                <c:ptCount val="2"/>
                <c:pt idx="0">
                  <c:v>Cohort</c:v>
                </c:pt>
                <c:pt idx="1">
                  <c:v>MHN</c:v>
                </c:pt>
              </c:strCache>
            </c:strRef>
          </c:cat>
          <c:val>
            <c:numRef>
              <c:f>Data!$B$364:$B$365</c:f>
              <c:numCache>
                <c:formatCode>mm:ss</c:formatCode>
                <c:ptCount val="2"/>
                <c:pt idx="0">
                  <c:v>5.7870370370370373E-5</c:v>
                </c:pt>
                <c:pt idx="1">
                  <c:v>5.7870370370370373E-5</c:v>
                </c:pt>
              </c:numCache>
            </c:numRef>
          </c:val>
          <c:extLst>
            <c:ext xmlns:c16="http://schemas.microsoft.com/office/drawing/2014/chart" uri="{C3380CC4-5D6E-409C-BE32-E72D297353CC}">
              <c16:uniqueId val="{00000002-3A6A-4ECF-8F7B-42B3A901A722}"/>
            </c:ext>
          </c:extLst>
        </c:ser>
        <c:ser>
          <c:idx val="1"/>
          <c:order val="1"/>
          <c:tx>
            <c:strRef>
              <c:f>Data!$C$363</c:f>
              <c:strCache>
                <c:ptCount val="1"/>
                <c:pt idx="0">
                  <c:v>Waiting (post-engagement)</c:v>
                </c:pt>
              </c:strCache>
            </c:strRef>
          </c:tx>
          <c:invertIfNegative val="0"/>
          <c:dLbls>
            <c:dLbl>
              <c:idx val="0"/>
              <c:layout>
                <c:manualLayout>
                  <c:x val="-2.5104604164636387E-3"/>
                  <c:y val="3.5502985046254591E-2"/>
                </c:manualLayout>
              </c:layout>
              <c:tx>
                <c:strRef>
                  <c:f>Data!$J$364</c:f>
                  <c:strCache>
                    <c:ptCount val="1"/>
                    <c:pt idx="0">
                      <c:v>0:00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{8884C65C-CFF9-4646-9552-A3F469376392}</c15:txfldGUID>
                      <c15:f>Data!$J$364</c15:f>
                      <c15:dlblFieldTableCache>
                        <c:ptCount val="1"/>
                        <c:pt idx="0">
                          <c:v>0:00
</c:v>
                        </c:pt>
                      </c15:dlblFieldTableCache>
                    </c15:dlblFTEntry>
                  </c15:dlblFieldTable>
                  <c15:showDataLabelsRange val="0"/>
                </c:ext>
                <c:ext xmlns:c16="http://schemas.microsoft.com/office/drawing/2014/chart" uri="{C3380CC4-5D6E-409C-BE32-E72D297353CC}">
                  <c16:uniqueId val="{00000003-3A6A-4ECF-8F7B-42B3A901A722}"/>
                </c:ext>
              </c:extLst>
            </c:dLbl>
            <c:dLbl>
              <c:idx val="1"/>
              <c:layout>
                <c:manualLayout>
                  <c:x val="0"/>
                  <c:y val="4.2603582055505441E-2"/>
                </c:manualLayout>
              </c:layout>
              <c:tx>
                <c:strRef>
                  <c:f>Data!$J$365</c:f>
                  <c:strCache>
                    <c:ptCount val="1"/>
                    <c:pt idx="0">
                      <c:v>0:00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{8E3BF26C-0844-4589-9731-339E27314474}</c15:txfldGUID>
                      <c15:f>Data!$J$365</c15:f>
                      <c15:dlblFieldTableCache>
                        <c:ptCount val="1"/>
                        <c:pt idx="0">
                          <c:v>0:00
</c:v>
                        </c:pt>
                      </c15:dlblFieldTableCache>
                    </c15:dlblFTEntry>
                  </c15:dlblFieldTable>
                  <c15:showDataLabelsRange val="0"/>
                </c:ext>
                <c:ext xmlns:c16="http://schemas.microsoft.com/office/drawing/2014/chart" uri="{C3380CC4-5D6E-409C-BE32-E72D297353CC}">
                  <c16:uniqueId val="{00000000-A795-4549-88E6-6CDF5D7552B7}"/>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Data!$A$364:$A$365</c:f>
              <c:strCache>
                <c:ptCount val="2"/>
                <c:pt idx="0">
                  <c:v>Cohort</c:v>
                </c:pt>
                <c:pt idx="1">
                  <c:v>MHN</c:v>
                </c:pt>
              </c:strCache>
            </c:strRef>
          </c:cat>
          <c:val>
            <c:numRef>
              <c:f>Data!$C$364:$C$365</c:f>
              <c:numCache>
                <c:formatCode>mm:ss</c:formatCode>
                <c:ptCount val="2"/>
                <c:pt idx="0">
                  <c:v>0</c:v>
                </c:pt>
                <c:pt idx="1">
                  <c:v>0</c:v>
                </c:pt>
              </c:numCache>
            </c:numRef>
          </c:val>
          <c:extLst>
            <c:ext xmlns:c16="http://schemas.microsoft.com/office/drawing/2014/chart" uri="{C3380CC4-5D6E-409C-BE32-E72D297353CC}">
              <c16:uniqueId val="{00000005-3A6A-4ECF-8F7B-42B3A901A722}"/>
            </c:ext>
          </c:extLst>
        </c:ser>
        <c:dLbls>
          <c:showLegendKey val="0"/>
          <c:showVal val="0"/>
          <c:showCatName val="0"/>
          <c:showSerName val="0"/>
          <c:showPercent val="0"/>
          <c:showBubbleSize val="0"/>
        </c:dLbls>
        <c:gapWidth val="55"/>
        <c:overlap val="100"/>
        <c:axId val="78330368"/>
        <c:axId val="161188096"/>
      </c:barChart>
      <c:catAx>
        <c:axId val="78330368"/>
        <c:scaling>
          <c:orientation val="minMax"/>
        </c:scaling>
        <c:delete val="0"/>
        <c:axPos val="l"/>
        <c:numFmt formatCode="General" sourceLinked="0"/>
        <c:majorTickMark val="none"/>
        <c:minorTickMark val="none"/>
        <c:tickLblPos val="nextTo"/>
        <c:txPr>
          <a:bodyPr/>
          <a:lstStyle/>
          <a:p>
            <a:pPr>
              <a:defRPr sz="800"/>
            </a:pPr>
            <a:endParaRPr lang="en-US"/>
          </a:p>
        </c:txPr>
        <c:crossAx val="161188096"/>
        <c:crosses val="autoZero"/>
        <c:auto val="1"/>
        <c:lblAlgn val="ctr"/>
        <c:lblOffset val="100"/>
        <c:noMultiLvlLbl val="0"/>
      </c:catAx>
      <c:valAx>
        <c:axId val="161188096"/>
        <c:scaling>
          <c:orientation val="minMax"/>
        </c:scaling>
        <c:delete val="0"/>
        <c:axPos val="b"/>
        <c:numFmt formatCode="mm:ss" sourceLinked="1"/>
        <c:majorTickMark val="none"/>
        <c:minorTickMark val="none"/>
        <c:tickLblPos val="nextTo"/>
        <c:txPr>
          <a:bodyPr/>
          <a:lstStyle/>
          <a:p>
            <a:pPr>
              <a:defRPr sz="900"/>
            </a:pPr>
            <a:endParaRPr lang="en-US"/>
          </a:p>
        </c:txPr>
        <c:crossAx val="78330368"/>
        <c:crosses val="autoZero"/>
        <c:crossBetween val="between"/>
      </c:valAx>
    </c:plotArea>
    <c:legend>
      <c:legendPos val="b"/>
      <c:layout>
        <c:manualLayout>
          <c:xMode val="edge"/>
          <c:yMode val="edge"/>
          <c:x val="0.17178072492213126"/>
          <c:y val="0.88017658681570021"/>
          <c:w val="0.68405321938874064"/>
          <c:h val="0.11982341318429902"/>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IN" sz="1000" b="1" i="0" u="none" strike="noStrike" baseline="0">
                <a:effectLst/>
              </a:rPr>
              <a:t>Cohort average</a:t>
            </a:r>
            <a:endParaRPr lang="en-AU" sz="1000"/>
          </a:p>
        </c:rich>
      </c:tx>
      <c:layout>
        <c:manualLayout>
          <c:xMode val="edge"/>
          <c:yMode val="edge"/>
          <c:x val="0.37711739399849153"/>
          <c:y val="2.0671653543307099E-2"/>
        </c:manualLayout>
      </c:layout>
      <c:overlay val="0"/>
    </c:title>
    <c:autoTitleDeleted val="0"/>
    <c:plotArea>
      <c:layout>
        <c:manualLayout>
          <c:layoutTarget val="inner"/>
          <c:xMode val="edge"/>
          <c:yMode val="edge"/>
          <c:x val="0.22379093648143839"/>
          <c:y val="0.1024594488188979"/>
          <c:w val="0.71580476078201749"/>
          <c:h val="0.69966968503936999"/>
        </c:manualLayout>
      </c:layout>
      <c:barChart>
        <c:barDir val="bar"/>
        <c:grouping val="stacked"/>
        <c:varyColors val="0"/>
        <c:ser>
          <c:idx val="0"/>
          <c:order val="0"/>
          <c:tx>
            <c:strRef>
              <c:f>Data!$H$204</c:f>
              <c:strCache>
                <c:ptCount val="1"/>
                <c:pt idx="0">
                  <c:v>Pharm</c:v>
                </c:pt>
              </c:strCache>
            </c:strRef>
          </c:tx>
          <c:spPr>
            <a:solidFill>
              <a:schemeClr val="accent1"/>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(Data!$I$203,Data!$K$203,Data!$M$203)</c:f>
              <c:strCache>
                <c:ptCount val="3"/>
                <c:pt idx="0">
                  <c:v>Script out</c:v>
                </c:pt>
                <c:pt idx="1">
                  <c:v>Script processing</c:v>
                </c:pt>
                <c:pt idx="2">
                  <c:v>Script in</c:v>
                </c:pt>
              </c:strCache>
            </c:strRef>
          </c:cat>
          <c:val>
            <c:numRef>
              <c:f>(Data!$I$204,Data!$K$204,Data!$M$204)</c:f>
              <c:numCache>
                <c:formatCode>0%</c:formatCode>
                <c:ptCount val="3"/>
                <c:pt idx="0">
                  <c:v>0.64013731275223673</c:v>
                </c:pt>
                <c:pt idx="1">
                  <c:v>0.56143083880180522</c:v>
                </c:pt>
                <c:pt idx="2">
                  <c:v>0.37094228012288449</c:v>
                </c:pt>
              </c:numCache>
            </c:numRef>
          </c:val>
          <c:extLst>
            <c:ext xmlns:c16="http://schemas.microsoft.com/office/drawing/2014/chart" uri="{C3380CC4-5D6E-409C-BE32-E72D297353CC}">
              <c16:uniqueId val="{00000000-17EE-4091-87E8-C1124B3A8D61}"/>
            </c:ext>
          </c:extLst>
        </c:ser>
        <c:ser>
          <c:idx val="2"/>
          <c:order val="1"/>
          <c:tx>
            <c:strRef>
              <c:f>Data!$H$205</c:f>
              <c:strCache>
                <c:ptCount val="1"/>
                <c:pt idx="0">
                  <c:v>Tech</c:v>
                </c:pt>
              </c:strCache>
            </c:strRef>
          </c:tx>
          <c:spPr>
            <a:solidFill>
              <a:schemeClr val="accent2"/>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(Data!$I$203,Data!$K$203,Data!$M$203)</c:f>
              <c:strCache>
                <c:ptCount val="3"/>
                <c:pt idx="0">
                  <c:v>Script out</c:v>
                </c:pt>
                <c:pt idx="1">
                  <c:v>Script processing</c:v>
                </c:pt>
                <c:pt idx="2">
                  <c:v>Script in</c:v>
                </c:pt>
              </c:strCache>
            </c:strRef>
          </c:cat>
          <c:val>
            <c:numRef>
              <c:f>(Data!$I$205,Data!$K$205,Data!$M$205)</c:f>
              <c:numCache>
                <c:formatCode>0%</c:formatCode>
                <c:ptCount val="3"/>
                <c:pt idx="0">
                  <c:v>7.6225696783177505E-2</c:v>
                </c:pt>
                <c:pt idx="1">
                  <c:v>0.36024205285351124</c:v>
                </c:pt>
                <c:pt idx="2">
                  <c:v>0.14791992241389451</c:v>
                </c:pt>
              </c:numCache>
            </c:numRef>
          </c:val>
          <c:extLst>
            <c:ext xmlns:c16="http://schemas.microsoft.com/office/drawing/2014/chart" uri="{C3380CC4-5D6E-409C-BE32-E72D297353CC}">
              <c16:uniqueId val="{00000002-17EE-4091-87E8-C1124B3A8D61}"/>
            </c:ext>
          </c:extLst>
        </c:ser>
        <c:ser>
          <c:idx val="4"/>
          <c:order val="2"/>
          <c:tx>
            <c:strRef>
              <c:f>Data!$H$206</c:f>
              <c:strCache>
                <c:ptCount val="1"/>
                <c:pt idx="0">
                  <c:v>Other</c:v>
                </c:pt>
              </c:strCache>
            </c:strRef>
          </c:tx>
          <c:spPr>
            <a:solidFill>
              <a:schemeClr val="accent3"/>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(Data!$I$203,Data!$K$203,Data!$M$203)</c:f>
              <c:strCache>
                <c:ptCount val="3"/>
                <c:pt idx="0">
                  <c:v>Script out</c:v>
                </c:pt>
                <c:pt idx="1">
                  <c:v>Script processing</c:v>
                </c:pt>
                <c:pt idx="2">
                  <c:v>Script in</c:v>
                </c:pt>
              </c:strCache>
            </c:strRef>
          </c:cat>
          <c:val>
            <c:numRef>
              <c:f>(Data!$I$206,Data!$K$206,Data!$M$206)</c:f>
              <c:numCache>
                <c:formatCode>0%</c:formatCode>
                <c:ptCount val="3"/>
                <c:pt idx="0">
                  <c:v>0.24423471863777518</c:v>
                </c:pt>
                <c:pt idx="1">
                  <c:v>1.1525327610053822E-2</c:v>
                </c:pt>
                <c:pt idx="2">
                  <c:v>0.44189131607167575</c:v>
                </c:pt>
              </c:numCache>
            </c:numRef>
          </c:val>
          <c:extLst>
            <c:ext xmlns:c16="http://schemas.microsoft.com/office/drawing/2014/chart" uri="{C3380CC4-5D6E-409C-BE32-E72D297353CC}">
              <c16:uniqueId val="{00000000-96D9-415E-847D-351DE95AE201}"/>
            </c:ext>
          </c:extLst>
        </c:ser>
        <c:ser>
          <c:idx val="1"/>
          <c:order val="3"/>
          <c:tx>
            <c:strRef>
              <c:f>Data!$H$207</c:f>
              <c:strCache>
                <c:ptCount val="1"/>
                <c:pt idx="0">
                  <c:v>Student (pre reg)</c:v>
                </c:pt>
              </c:strCache>
            </c:strRef>
          </c:tx>
          <c:spPr>
            <a:solidFill>
              <a:schemeClr val="accent4"/>
            </a:solidFill>
          </c:spPr>
          <c:invertIfNegative val="0"/>
          <c:dLbls>
            <c:dLbl>
              <c:idx val="1"/>
              <c:layout>
                <c:manualLayout>
                  <c:x val="1.12852642292075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D9-415E-847D-351DE95AE201}"/>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(Data!$I$203,Data!$K$203,Data!$M$203)</c:f>
              <c:strCache>
                <c:ptCount val="3"/>
                <c:pt idx="0">
                  <c:v>Script out</c:v>
                </c:pt>
                <c:pt idx="1">
                  <c:v>Script processing</c:v>
                </c:pt>
                <c:pt idx="2">
                  <c:v>Script in</c:v>
                </c:pt>
              </c:strCache>
            </c:strRef>
          </c:cat>
          <c:val>
            <c:numRef>
              <c:f>(Data!$I$207,Data!$K$207,Data!$M$207)</c:f>
              <c:numCache>
                <c:formatCode>0%</c:formatCode>
                <c:ptCount val="3"/>
                <c:pt idx="0">
                  <c:v>3.9402271826810602E-2</c:v>
                </c:pt>
                <c:pt idx="1">
                  <c:v>6.6801780734629737E-2</c:v>
                </c:pt>
                <c:pt idx="2">
                  <c:v>3.9246481391545136E-2</c:v>
                </c:pt>
              </c:numCache>
            </c:numRef>
          </c:val>
          <c:extLst>
            <c:ext xmlns:c16="http://schemas.microsoft.com/office/drawing/2014/chart" uri="{C3380CC4-5D6E-409C-BE32-E72D297353CC}">
              <c16:uniqueId val="{00000002-96D9-415E-847D-351DE95AE201}"/>
            </c:ext>
          </c:extLst>
        </c:ser>
        <c:dLbls>
          <c:showLegendKey val="0"/>
          <c:showVal val="0"/>
          <c:showCatName val="0"/>
          <c:showSerName val="0"/>
          <c:showPercent val="0"/>
          <c:showBubbleSize val="0"/>
        </c:dLbls>
        <c:gapWidth val="55"/>
        <c:overlap val="100"/>
        <c:axId val="146998784"/>
        <c:axId val="117553344"/>
      </c:barChart>
      <c:catAx>
        <c:axId val="146998784"/>
        <c:scaling>
          <c:orientation val="minMax"/>
        </c:scaling>
        <c:delete val="0"/>
        <c:axPos val="l"/>
        <c:numFmt formatCode="General" sourceLinked="0"/>
        <c:majorTickMark val="none"/>
        <c:minorTickMark val="none"/>
        <c:tickLblPos val="nextTo"/>
        <c:txPr>
          <a:bodyPr/>
          <a:lstStyle/>
          <a:p>
            <a:pPr>
              <a:defRPr sz="800"/>
            </a:pPr>
            <a:endParaRPr lang="en-US"/>
          </a:p>
        </c:txPr>
        <c:crossAx val="117553344"/>
        <c:crosses val="autoZero"/>
        <c:auto val="1"/>
        <c:lblAlgn val="ctr"/>
        <c:lblOffset val="100"/>
        <c:noMultiLvlLbl val="0"/>
      </c:catAx>
      <c:valAx>
        <c:axId val="117553344"/>
        <c:scaling>
          <c:orientation val="minMax"/>
          <c:max val="1"/>
        </c:scaling>
        <c:delete val="0"/>
        <c:axPos val="b"/>
        <c:majorGridlines/>
        <c:numFmt formatCode="0%" sourceLinked="1"/>
        <c:majorTickMark val="none"/>
        <c:minorTickMark val="none"/>
        <c:tickLblPos val="nextTo"/>
        <c:txPr>
          <a:bodyPr/>
          <a:lstStyle/>
          <a:p>
            <a:pPr>
              <a:defRPr sz="900"/>
            </a:pPr>
            <a:endParaRPr lang="en-US"/>
          </a:p>
        </c:txPr>
        <c:crossAx val="146998784"/>
        <c:crosses val="autoZero"/>
        <c:crossBetween val="between"/>
      </c:valAx>
    </c:plotArea>
    <c:legend>
      <c:legendPos val="b"/>
      <c:layout>
        <c:manualLayout>
          <c:xMode val="edge"/>
          <c:yMode val="edge"/>
          <c:x val="0.19651732599070401"/>
          <c:y val="0.88562440944882004"/>
          <c:w val="0.7442021584770997"/>
          <c:h val="8.4375590551181212E-2"/>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IN" sz="1000" b="1" i="0" u="none" strike="noStrike" baseline="0">
                <a:effectLst/>
              </a:rPr>
              <a:t>OTC </a:t>
            </a:r>
            <a:endParaRPr lang="en-AU" sz="1000"/>
          </a:p>
        </c:rich>
      </c:tx>
      <c:layout>
        <c:manualLayout>
          <c:xMode val="edge"/>
          <c:yMode val="edge"/>
          <c:x val="0.45450690451601683"/>
          <c:y val="2.0672020315174292E-2"/>
        </c:manualLayout>
      </c:layout>
      <c:overlay val="0"/>
    </c:title>
    <c:autoTitleDeleted val="0"/>
    <c:plotArea>
      <c:layout>
        <c:manualLayout>
          <c:layoutTarget val="inner"/>
          <c:xMode val="edge"/>
          <c:yMode val="edge"/>
          <c:x val="0.13809597831149359"/>
          <c:y val="0.18745940913261339"/>
          <c:w val="0.76426107444346381"/>
          <c:h val="0.52966951641458482"/>
        </c:manualLayout>
      </c:layout>
      <c:barChart>
        <c:barDir val="bar"/>
        <c:grouping val="stacked"/>
        <c:varyColors val="0"/>
        <c:ser>
          <c:idx val="0"/>
          <c:order val="0"/>
          <c:tx>
            <c:strRef>
              <c:f>Data!$A$214</c:f>
              <c:strCache>
                <c:ptCount val="1"/>
                <c:pt idx="0">
                  <c:v>Pharm</c:v>
                </c:pt>
              </c:strCache>
            </c:strRef>
          </c:tx>
          <c:spPr>
            <a:solidFill>
              <a:schemeClr val="accent1"/>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Data!$B$213:$C$213</c:f>
              <c:strCache>
                <c:ptCount val="2"/>
                <c:pt idx="0">
                  <c:v>Cohort</c:v>
                </c:pt>
                <c:pt idx="1">
                  <c:v>MHN</c:v>
                </c:pt>
              </c:strCache>
            </c:strRef>
          </c:cat>
          <c:val>
            <c:numRef>
              <c:f>Data!$B$214:$C$214</c:f>
              <c:numCache>
                <c:formatCode>0%</c:formatCode>
                <c:ptCount val="2"/>
                <c:pt idx="0">
                  <c:v>0.4703901258603736</c:v>
                </c:pt>
                <c:pt idx="1">
                  <c:v>0.31818181818181818</c:v>
                </c:pt>
              </c:numCache>
            </c:numRef>
          </c:val>
          <c:extLst>
            <c:ext xmlns:c16="http://schemas.microsoft.com/office/drawing/2014/chart" uri="{C3380CC4-5D6E-409C-BE32-E72D297353CC}">
              <c16:uniqueId val="{00000000-20D8-4116-B131-780D2D51DBA8}"/>
            </c:ext>
          </c:extLst>
        </c:ser>
        <c:ser>
          <c:idx val="1"/>
          <c:order val="1"/>
          <c:tx>
            <c:strRef>
              <c:f>Data!$A$215</c:f>
              <c:strCache>
                <c:ptCount val="1"/>
                <c:pt idx="0">
                  <c:v>Tech</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Data!$B$213:$C$213</c:f>
              <c:strCache>
                <c:ptCount val="2"/>
                <c:pt idx="0">
                  <c:v>Cohort</c:v>
                </c:pt>
                <c:pt idx="1">
                  <c:v>MHN</c:v>
                </c:pt>
              </c:strCache>
            </c:strRef>
          </c:cat>
          <c:val>
            <c:numRef>
              <c:f>Data!$B$215:$C$215</c:f>
              <c:numCache>
                <c:formatCode>0%</c:formatCode>
                <c:ptCount val="2"/>
                <c:pt idx="0">
                  <c:v>0.10650526117440585</c:v>
                </c:pt>
                <c:pt idx="1">
                  <c:v>0.31818181818181818</c:v>
                </c:pt>
              </c:numCache>
            </c:numRef>
          </c:val>
          <c:extLst>
            <c:ext xmlns:c16="http://schemas.microsoft.com/office/drawing/2014/chart" uri="{C3380CC4-5D6E-409C-BE32-E72D297353CC}">
              <c16:uniqueId val="{00000001-20D8-4116-B131-780D2D51DBA8}"/>
            </c:ext>
          </c:extLst>
        </c:ser>
        <c:ser>
          <c:idx val="2"/>
          <c:order val="2"/>
          <c:tx>
            <c:strRef>
              <c:f>Data!$A$216</c:f>
              <c:strCache>
                <c:ptCount val="1"/>
                <c:pt idx="0">
                  <c:v>Other</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Data!$B$213:$C$213</c:f>
              <c:strCache>
                <c:ptCount val="2"/>
                <c:pt idx="0">
                  <c:v>Cohort</c:v>
                </c:pt>
                <c:pt idx="1">
                  <c:v>MHN</c:v>
                </c:pt>
              </c:strCache>
            </c:strRef>
          </c:cat>
          <c:val>
            <c:numRef>
              <c:f>Data!$B$216:$C$216</c:f>
              <c:numCache>
                <c:formatCode>0%</c:formatCode>
                <c:ptCount val="2"/>
                <c:pt idx="0">
                  <c:v>0.3778735728911119</c:v>
                </c:pt>
                <c:pt idx="1">
                  <c:v>0.36363636363636365</c:v>
                </c:pt>
              </c:numCache>
            </c:numRef>
          </c:val>
          <c:extLst>
            <c:ext xmlns:c16="http://schemas.microsoft.com/office/drawing/2014/chart" uri="{C3380CC4-5D6E-409C-BE32-E72D297353CC}">
              <c16:uniqueId val="{00000002-20D8-4116-B131-780D2D51DBA8}"/>
            </c:ext>
          </c:extLst>
        </c:ser>
        <c:ser>
          <c:idx val="3"/>
          <c:order val="3"/>
          <c:tx>
            <c:strRef>
              <c:f>Data!$A$217</c:f>
              <c:strCache>
                <c:ptCount val="1"/>
                <c:pt idx="0">
                  <c:v>Student (pre reg)</c:v>
                </c:pt>
              </c:strCache>
            </c:strRef>
          </c:tx>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87CD-4695-9E66-5402F03B6DA1}"/>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Data!$B$213:$C$213</c:f>
              <c:strCache>
                <c:ptCount val="2"/>
                <c:pt idx="0">
                  <c:v>Cohort</c:v>
                </c:pt>
                <c:pt idx="1">
                  <c:v>MHN</c:v>
                </c:pt>
              </c:strCache>
            </c:strRef>
          </c:cat>
          <c:val>
            <c:numRef>
              <c:f>Data!$B$217:$C$217</c:f>
              <c:numCache>
                <c:formatCode>0%</c:formatCode>
                <c:ptCount val="2"/>
                <c:pt idx="0">
                  <c:v>4.5231040074108768E-2</c:v>
                </c:pt>
                <c:pt idx="1">
                  <c:v>0</c:v>
                </c:pt>
              </c:numCache>
            </c:numRef>
          </c:val>
          <c:extLst>
            <c:ext xmlns:c16="http://schemas.microsoft.com/office/drawing/2014/chart" uri="{C3380CC4-5D6E-409C-BE32-E72D297353CC}">
              <c16:uniqueId val="{00000003-20D8-4116-B131-780D2D51DBA8}"/>
            </c:ext>
          </c:extLst>
        </c:ser>
        <c:dLbls>
          <c:showLegendKey val="0"/>
          <c:showVal val="0"/>
          <c:showCatName val="0"/>
          <c:showSerName val="0"/>
          <c:showPercent val="0"/>
          <c:showBubbleSize val="0"/>
        </c:dLbls>
        <c:gapWidth val="55"/>
        <c:overlap val="100"/>
        <c:axId val="147099648"/>
        <c:axId val="117679232"/>
      </c:barChart>
      <c:catAx>
        <c:axId val="147099648"/>
        <c:scaling>
          <c:orientation val="minMax"/>
        </c:scaling>
        <c:delete val="0"/>
        <c:axPos val="l"/>
        <c:numFmt formatCode="General" sourceLinked="0"/>
        <c:majorTickMark val="none"/>
        <c:minorTickMark val="none"/>
        <c:tickLblPos val="nextTo"/>
        <c:txPr>
          <a:bodyPr/>
          <a:lstStyle/>
          <a:p>
            <a:pPr>
              <a:defRPr sz="800"/>
            </a:pPr>
            <a:endParaRPr lang="en-US"/>
          </a:p>
        </c:txPr>
        <c:crossAx val="117679232"/>
        <c:crosses val="autoZero"/>
        <c:auto val="1"/>
        <c:lblAlgn val="ctr"/>
        <c:lblOffset val="100"/>
        <c:noMultiLvlLbl val="0"/>
      </c:catAx>
      <c:valAx>
        <c:axId val="117679232"/>
        <c:scaling>
          <c:orientation val="minMax"/>
          <c:max val="1"/>
        </c:scaling>
        <c:delete val="0"/>
        <c:axPos val="b"/>
        <c:majorGridlines/>
        <c:numFmt formatCode="0%" sourceLinked="1"/>
        <c:majorTickMark val="none"/>
        <c:minorTickMark val="none"/>
        <c:tickLblPos val="nextTo"/>
        <c:txPr>
          <a:bodyPr/>
          <a:lstStyle/>
          <a:p>
            <a:pPr>
              <a:defRPr sz="900"/>
            </a:pPr>
            <a:endParaRPr lang="en-US"/>
          </a:p>
        </c:txPr>
        <c:crossAx val="147099648"/>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4421222894583399"/>
          <c:y val="0.1094205542803771"/>
          <c:w val="0.78881183647664577"/>
          <c:h val="0.60770851688970906"/>
        </c:manualLayout>
      </c:layout>
      <c:barChart>
        <c:barDir val="bar"/>
        <c:grouping val="stacked"/>
        <c:varyColors val="0"/>
        <c:ser>
          <c:idx val="0"/>
          <c:order val="0"/>
          <c:tx>
            <c:strRef>
              <c:f>Data!$A$244</c:f>
              <c:strCache>
                <c:ptCount val="1"/>
                <c:pt idx="0">
                  <c:v>Pharm</c:v>
                </c:pt>
              </c:strCache>
            </c:strRef>
          </c:tx>
          <c:spPr>
            <a:solidFill>
              <a:schemeClr val="accent1"/>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Data!$B$243:$C$243</c:f>
              <c:strCache>
                <c:ptCount val="2"/>
                <c:pt idx="0">
                  <c:v>Cohort</c:v>
                </c:pt>
                <c:pt idx="1">
                  <c:v>MHN</c:v>
                </c:pt>
              </c:strCache>
            </c:strRef>
          </c:cat>
          <c:val>
            <c:numRef>
              <c:f>Data!$B$244:$C$244</c:f>
              <c:numCache>
                <c:formatCode>0%</c:formatCode>
                <c:ptCount val="2"/>
                <c:pt idx="0">
                  <c:v>0.45118959014037779</c:v>
                </c:pt>
                <c:pt idx="1">
                  <c:v>0.25531914893617019</c:v>
                </c:pt>
              </c:numCache>
            </c:numRef>
          </c:val>
          <c:extLst>
            <c:ext xmlns:c16="http://schemas.microsoft.com/office/drawing/2014/chart" uri="{C3380CC4-5D6E-409C-BE32-E72D297353CC}">
              <c16:uniqueId val="{00000000-6012-465B-87FE-4D2D563AC15A}"/>
            </c:ext>
          </c:extLst>
        </c:ser>
        <c:ser>
          <c:idx val="1"/>
          <c:order val="1"/>
          <c:tx>
            <c:strRef>
              <c:f>Data!$A$245</c:f>
              <c:strCache>
                <c:ptCount val="1"/>
                <c:pt idx="0">
                  <c:v>Tech</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Data!$B$243:$C$243</c:f>
              <c:strCache>
                <c:ptCount val="2"/>
                <c:pt idx="0">
                  <c:v>Cohort</c:v>
                </c:pt>
                <c:pt idx="1">
                  <c:v>MHN</c:v>
                </c:pt>
              </c:strCache>
            </c:strRef>
          </c:cat>
          <c:val>
            <c:numRef>
              <c:f>Data!$B$245:$C$245</c:f>
              <c:numCache>
                <c:formatCode>0%</c:formatCode>
                <c:ptCount val="2"/>
                <c:pt idx="0">
                  <c:v>0.2170164869172099</c:v>
                </c:pt>
                <c:pt idx="1">
                  <c:v>0.24822695035460993</c:v>
                </c:pt>
              </c:numCache>
            </c:numRef>
          </c:val>
          <c:extLst>
            <c:ext xmlns:c16="http://schemas.microsoft.com/office/drawing/2014/chart" uri="{C3380CC4-5D6E-409C-BE32-E72D297353CC}">
              <c16:uniqueId val="{00000001-6012-465B-87FE-4D2D563AC15A}"/>
            </c:ext>
          </c:extLst>
        </c:ser>
        <c:ser>
          <c:idx val="2"/>
          <c:order val="2"/>
          <c:tx>
            <c:strRef>
              <c:f>Data!$A$246</c:f>
              <c:strCache>
                <c:ptCount val="1"/>
                <c:pt idx="0">
                  <c:v>Other</c:v>
                </c:pt>
              </c:strCache>
            </c:strRef>
          </c:tx>
          <c:spPr>
            <a:solidFill>
              <a:schemeClr val="accent3"/>
            </a:solidFill>
          </c:spPr>
          <c:invertIfNegative val="0"/>
          <c:dLbls>
            <c:dLbl>
              <c:idx val="1"/>
              <c:layout>
                <c:manualLayout>
                  <c:x val="-3.773584905660385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12-465B-87FE-4D2D563AC15A}"/>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Data!$B$243:$C$243</c:f>
              <c:strCache>
                <c:ptCount val="2"/>
                <c:pt idx="0">
                  <c:v>Cohort</c:v>
                </c:pt>
                <c:pt idx="1">
                  <c:v>MHN</c:v>
                </c:pt>
              </c:strCache>
            </c:strRef>
          </c:cat>
          <c:val>
            <c:numRef>
              <c:f>Data!$B$246:$C$246</c:f>
              <c:numCache>
                <c:formatCode>0%</c:formatCode>
                <c:ptCount val="2"/>
                <c:pt idx="0">
                  <c:v>0.26756337950969766</c:v>
                </c:pt>
                <c:pt idx="1">
                  <c:v>0.3546099290780142</c:v>
                </c:pt>
              </c:numCache>
            </c:numRef>
          </c:val>
          <c:extLst>
            <c:ext xmlns:c16="http://schemas.microsoft.com/office/drawing/2014/chart" uri="{C3380CC4-5D6E-409C-BE32-E72D297353CC}">
              <c16:uniqueId val="{00000003-6012-465B-87FE-4D2D563AC15A}"/>
            </c:ext>
          </c:extLst>
        </c:ser>
        <c:ser>
          <c:idx val="3"/>
          <c:order val="3"/>
          <c:tx>
            <c:strRef>
              <c:f>Data!$A$247</c:f>
              <c:strCache>
                <c:ptCount val="1"/>
                <c:pt idx="0">
                  <c:v>Student (pre reg)</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Data!$B$243:$C$243</c:f>
              <c:strCache>
                <c:ptCount val="2"/>
                <c:pt idx="0">
                  <c:v>Cohort</c:v>
                </c:pt>
                <c:pt idx="1">
                  <c:v>MHN</c:v>
                </c:pt>
              </c:strCache>
            </c:strRef>
          </c:cat>
          <c:val>
            <c:numRef>
              <c:f>Data!$B$247:$C$247</c:f>
              <c:numCache>
                <c:formatCode>0%</c:formatCode>
                <c:ptCount val="2"/>
                <c:pt idx="0">
                  <c:v>6.4230543432714393E-2</c:v>
                </c:pt>
                <c:pt idx="1">
                  <c:v>0.14184397163120568</c:v>
                </c:pt>
              </c:numCache>
            </c:numRef>
          </c:val>
          <c:extLst>
            <c:ext xmlns:c16="http://schemas.microsoft.com/office/drawing/2014/chart" uri="{C3380CC4-5D6E-409C-BE32-E72D297353CC}">
              <c16:uniqueId val="{00000004-6012-465B-87FE-4D2D563AC15A}"/>
            </c:ext>
          </c:extLst>
        </c:ser>
        <c:dLbls>
          <c:showLegendKey val="0"/>
          <c:showVal val="0"/>
          <c:showCatName val="0"/>
          <c:showSerName val="0"/>
          <c:showPercent val="0"/>
          <c:showBubbleSize val="0"/>
        </c:dLbls>
        <c:gapWidth val="55"/>
        <c:overlap val="100"/>
        <c:axId val="147102208"/>
        <c:axId val="117681536"/>
      </c:barChart>
      <c:catAx>
        <c:axId val="147102208"/>
        <c:scaling>
          <c:orientation val="minMax"/>
        </c:scaling>
        <c:delete val="0"/>
        <c:axPos val="l"/>
        <c:numFmt formatCode="General" sourceLinked="0"/>
        <c:majorTickMark val="none"/>
        <c:minorTickMark val="none"/>
        <c:tickLblPos val="nextTo"/>
        <c:txPr>
          <a:bodyPr/>
          <a:lstStyle/>
          <a:p>
            <a:pPr>
              <a:defRPr sz="800"/>
            </a:pPr>
            <a:endParaRPr lang="en-US"/>
          </a:p>
        </c:txPr>
        <c:crossAx val="117681536"/>
        <c:crosses val="autoZero"/>
        <c:auto val="1"/>
        <c:lblAlgn val="ctr"/>
        <c:lblOffset val="100"/>
        <c:noMultiLvlLbl val="0"/>
      </c:catAx>
      <c:valAx>
        <c:axId val="117681536"/>
        <c:scaling>
          <c:orientation val="minMax"/>
          <c:max val="1"/>
        </c:scaling>
        <c:delete val="0"/>
        <c:axPos val="b"/>
        <c:majorGridlines/>
        <c:numFmt formatCode="0%" sourceLinked="1"/>
        <c:majorTickMark val="none"/>
        <c:minorTickMark val="none"/>
        <c:tickLblPos val="nextTo"/>
        <c:txPr>
          <a:bodyPr/>
          <a:lstStyle/>
          <a:p>
            <a:pPr>
              <a:defRPr sz="900"/>
            </a:pPr>
            <a:endParaRPr lang="en-US"/>
          </a:p>
        </c:txPr>
        <c:crossAx val="147102208"/>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IN" sz="1000" b="1" i="0" u="none" strike="noStrike" baseline="0">
                <a:effectLst/>
              </a:rPr>
              <a:t>Health Aisles </a:t>
            </a:r>
            <a:endParaRPr lang="en-AU" sz="1000"/>
          </a:p>
        </c:rich>
      </c:tx>
      <c:layout>
        <c:manualLayout>
          <c:xMode val="edge"/>
          <c:yMode val="edge"/>
          <c:x val="0.39777826217983342"/>
          <c:y val="2.0672020315174292E-2"/>
        </c:manualLayout>
      </c:layout>
      <c:overlay val="0"/>
    </c:title>
    <c:autoTitleDeleted val="0"/>
    <c:plotArea>
      <c:layout>
        <c:manualLayout>
          <c:layoutTarget val="inner"/>
          <c:xMode val="edge"/>
          <c:yMode val="edge"/>
          <c:x val="0.11918630944078915"/>
          <c:y val="0.18745940913261339"/>
          <c:w val="0.78317065439283895"/>
          <c:h val="0.52966951641458482"/>
        </c:manualLayout>
      </c:layout>
      <c:barChart>
        <c:barDir val="bar"/>
        <c:grouping val="stacked"/>
        <c:varyColors val="0"/>
        <c:ser>
          <c:idx val="0"/>
          <c:order val="0"/>
          <c:tx>
            <c:strRef>
              <c:f>Data!$A$414</c:f>
              <c:strCache>
                <c:ptCount val="1"/>
                <c:pt idx="0">
                  <c:v>Pharm</c:v>
                </c:pt>
              </c:strCache>
            </c:strRef>
          </c:tx>
          <c:spPr>
            <a:solidFill>
              <a:schemeClr val="accent1"/>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Data!$B$413:$C$413</c:f>
              <c:strCache>
                <c:ptCount val="2"/>
                <c:pt idx="0">
                  <c:v>Cohort</c:v>
                </c:pt>
                <c:pt idx="1">
                  <c:v>MHN</c:v>
                </c:pt>
              </c:strCache>
            </c:strRef>
          </c:cat>
          <c:val>
            <c:numRef>
              <c:f>Data!$B$414:$C$414</c:f>
              <c:numCache>
                <c:formatCode>0%</c:formatCode>
                <c:ptCount val="2"/>
                <c:pt idx="0">
                  <c:v>0.5</c:v>
                </c:pt>
                <c:pt idx="1">
                  <c:v>0.5</c:v>
                </c:pt>
              </c:numCache>
            </c:numRef>
          </c:val>
          <c:extLst>
            <c:ext xmlns:c16="http://schemas.microsoft.com/office/drawing/2014/chart" uri="{C3380CC4-5D6E-409C-BE32-E72D297353CC}">
              <c16:uniqueId val="{00000000-DEBD-4EA5-8997-31BA8123FF35}"/>
            </c:ext>
          </c:extLst>
        </c:ser>
        <c:ser>
          <c:idx val="1"/>
          <c:order val="1"/>
          <c:tx>
            <c:strRef>
              <c:f>Data!$A$415</c:f>
              <c:strCache>
                <c:ptCount val="1"/>
                <c:pt idx="0">
                  <c:v>Tech</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Data!$B$413:$C$413</c:f>
              <c:strCache>
                <c:ptCount val="2"/>
                <c:pt idx="0">
                  <c:v>Cohort</c:v>
                </c:pt>
                <c:pt idx="1">
                  <c:v>MHN</c:v>
                </c:pt>
              </c:strCache>
            </c:strRef>
          </c:cat>
          <c:val>
            <c:numRef>
              <c:f>Data!$B$415:$C$415</c:f>
              <c:numCache>
                <c:formatCode>0%</c:formatCode>
                <c:ptCount val="2"/>
                <c:pt idx="0">
                  <c:v>0.5</c:v>
                </c:pt>
                <c:pt idx="1">
                  <c:v>0.5</c:v>
                </c:pt>
              </c:numCache>
            </c:numRef>
          </c:val>
          <c:extLst>
            <c:ext xmlns:c16="http://schemas.microsoft.com/office/drawing/2014/chart" uri="{C3380CC4-5D6E-409C-BE32-E72D297353CC}">
              <c16:uniqueId val="{00000001-DEBD-4EA5-8997-31BA8123FF35}"/>
            </c:ext>
          </c:extLst>
        </c:ser>
        <c:ser>
          <c:idx val="2"/>
          <c:order val="2"/>
          <c:tx>
            <c:strRef>
              <c:f>Data!$A$416</c:f>
              <c:strCache>
                <c:ptCount val="1"/>
                <c:pt idx="0">
                  <c:v>Other</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Data!$B$413:$C$413</c:f>
              <c:strCache>
                <c:ptCount val="2"/>
                <c:pt idx="0">
                  <c:v>Cohort</c:v>
                </c:pt>
                <c:pt idx="1">
                  <c:v>MHN</c:v>
                </c:pt>
              </c:strCache>
            </c:strRef>
          </c:cat>
          <c:val>
            <c:numRef>
              <c:f>Data!$B$416:$C$416</c:f>
              <c:numCache>
                <c:formatCode>0%</c:formatCode>
                <c:ptCount val="2"/>
                <c:pt idx="0">
                  <c:v>0</c:v>
                </c:pt>
                <c:pt idx="1">
                  <c:v>0</c:v>
                </c:pt>
              </c:numCache>
            </c:numRef>
          </c:val>
          <c:extLst>
            <c:ext xmlns:c16="http://schemas.microsoft.com/office/drawing/2014/chart" uri="{C3380CC4-5D6E-409C-BE32-E72D297353CC}">
              <c16:uniqueId val="{00000002-DEBD-4EA5-8997-31BA8123FF35}"/>
            </c:ext>
          </c:extLst>
        </c:ser>
        <c:ser>
          <c:idx val="3"/>
          <c:order val="3"/>
          <c:tx>
            <c:strRef>
              <c:f>Data!$A$417</c:f>
              <c:strCache>
                <c:ptCount val="1"/>
                <c:pt idx="0">
                  <c:v>Student (pre reg)</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Data!$B$413:$C$413</c:f>
              <c:strCache>
                <c:ptCount val="2"/>
                <c:pt idx="0">
                  <c:v>Cohort</c:v>
                </c:pt>
                <c:pt idx="1">
                  <c:v>MHN</c:v>
                </c:pt>
              </c:strCache>
            </c:strRef>
          </c:cat>
          <c:val>
            <c:numRef>
              <c:f>Data!$B$417:$C$417</c:f>
              <c:numCache>
                <c:formatCode>0%</c:formatCode>
                <c:ptCount val="2"/>
                <c:pt idx="0">
                  <c:v>0</c:v>
                </c:pt>
                <c:pt idx="1">
                  <c:v>0</c:v>
                </c:pt>
              </c:numCache>
            </c:numRef>
          </c:val>
          <c:extLst>
            <c:ext xmlns:c16="http://schemas.microsoft.com/office/drawing/2014/chart" uri="{C3380CC4-5D6E-409C-BE32-E72D297353CC}">
              <c16:uniqueId val="{00000003-DEBD-4EA5-8997-31BA8123FF35}"/>
            </c:ext>
          </c:extLst>
        </c:ser>
        <c:dLbls>
          <c:showLegendKey val="0"/>
          <c:showVal val="0"/>
          <c:showCatName val="0"/>
          <c:showSerName val="0"/>
          <c:showPercent val="0"/>
          <c:showBubbleSize val="0"/>
        </c:dLbls>
        <c:gapWidth val="55"/>
        <c:overlap val="100"/>
        <c:axId val="147127296"/>
        <c:axId val="77363392"/>
      </c:barChart>
      <c:catAx>
        <c:axId val="147127296"/>
        <c:scaling>
          <c:orientation val="minMax"/>
        </c:scaling>
        <c:delete val="0"/>
        <c:axPos val="l"/>
        <c:numFmt formatCode="General" sourceLinked="0"/>
        <c:majorTickMark val="none"/>
        <c:minorTickMark val="none"/>
        <c:tickLblPos val="nextTo"/>
        <c:txPr>
          <a:bodyPr/>
          <a:lstStyle/>
          <a:p>
            <a:pPr>
              <a:defRPr sz="800"/>
            </a:pPr>
            <a:endParaRPr lang="en-US"/>
          </a:p>
        </c:txPr>
        <c:crossAx val="77363392"/>
        <c:crosses val="autoZero"/>
        <c:auto val="1"/>
        <c:lblAlgn val="ctr"/>
        <c:lblOffset val="100"/>
        <c:noMultiLvlLbl val="0"/>
      </c:catAx>
      <c:valAx>
        <c:axId val="77363392"/>
        <c:scaling>
          <c:orientation val="minMax"/>
          <c:max val="1"/>
        </c:scaling>
        <c:delete val="0"/>
        <c:axPos val="b"/>
        <c:majorGridlines/>
        <c:numFmt formatCode="0%" sourceLinked="1"/>
        <c:majorTickMark val="none"/>
        <c:minorTickMark val="none"/>
        <c:tickLblPos val="nextTo"/>
        <c:txPr>
          <a:bodyPr/>
          <a:lstStyle/>
          <a:p>
            <a:pPr>
              <a:defRPr sz="900"/>
            </a:pPr>
            <a:endParaRPr lang="en-US"/>
          </a:p>
        </c:txPr>
        <c:crossAx val="147127296"/>
        <c:crosses val="autoZero"/>
        <c:crossBetween val="between"/>
      </c:valAx>
    </c:plotArea>
    <c:legend>
      <c:legendPos val="b"/>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AU" sz="1000"/>
              <a:t>Script processing efficiency split</a:t>
            </a:r>
          </a:p>
        </c:rich>
      </c:tx>
      <c:layout>
        <c:manualLayout>
          <c:xMode val="edge"/>
          <c:yMode val="edge"/>
          <c:x val="0.26097537633975587"/>
          <c:y val="2.0671733227451555E-2"/>
        </c:manualLayout>
      </c:layout>
      <c:overlay val="0"/>
    </c:title>
    <c:autoTitleDeleted val="0"/>
    <c:plotArea>
      <c:layout>
        <c:manualLayout>
          <c:layoutTarget val="inner"/>
          <c:xMode val="edge"/>
          <c:yMode val="edge"/>
          <c:x val="0.11918630944078915"/>
          <c:y val="0.18745940913261339"/>
          <c:w val="0.78317065439283895"/>
          <c:h val="0.52966951641458482"/>
        </c:manualLayout>
      </c:layout>
      <c:barChart>
        <c:barDir val="bar"/>
        <c:grouping val="stacked"/>
        <c:varyColors val="0"/>
        <c:ser>
          <c:idx val="0"/>
          <c:order val="0"/>
          <c:tx>
            <c:strRef>
              <c:f>Data!$B$183</c:f>
              <c:strCache>
                <c:ptCount val="1"/>
                <c:pt idx="0">
                  <c:v>Black</c:v>
                </c:pt>
              </c:strCache>
            </c:strRef>
          </c:tx>
          <c:spPr>
            <a:solidFill>
              <a:schemeClr val="tx1"/>
            </a:solidFill>
          </c:spPr>
          <c:invertIfNegative val="0"/>
          <c:dLbls>
            <c:dLbl>
              <c:idx val="0"/>
              <c:tx>
                <c:strRef>
                  <c:f>Data!$I$184</c:f>
                  <c:strCache>
                    <c:ptCount val="1"/>
                    <c:pt idx="0">
                      <c:v>01:56 (48%)</c:v>
                    </c:pt>
                  </c:strCache>
                </c:strRef>
              </c:tx>
              <c:spPr>
                <a:noFill/>
                <a:ln>
                  <a:noFill/>
                </a:ln>
                <a:effectLst/>
              </c:spPr>
              <c:txPr>
                <a:bodyPr/>
                <a:lstStyle/>
                <a:p>
                  <a:pPr>
                    <a:defRPr sz="900" b="1">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15:dlblFieldTable>
                    <c15:dlblFTEntry>
                      <c15:txfldGUID>{3195D604-38F0-4147-98DC-E385D088E110}</c15:txfldGUID>
                      <c15:f>Data!$I$184</c15:f>
                      <c15:dlblFieldTableCache>
                        <c:ptCount val="1"/>
                        <c:pt idx="0">
                          <c:v>01:56 (48%)</c:v>
                        </c:pt>
                      </c15:dlblFieldTableCache>
                    </c15:dlblFTEntry>
                  </c15:dlblFieldTable>
                  <c15:showDataLabelsRange val="0"/>
                </c:ext>
                <c:ext xmlns:c16="http://schemas.microsoft.com/office/drawing/2014/chart" uri="{C3380CC4-5D6E-409C-BE32-E72D297353CC}">
                  <c16:uniqueId val="{00000000-5520-4CFB-853E-CEAAC60E0B5B}"/>
                </c:ext>
              </c:extLst>
            </c:dLbl>
            <c:dLbl>
              <c:idx val="1"/>
              <c:tx>
                <c:strRef>
                  <c:f>Data!$I$185</c:f>
                  <c:strCache>
                    <c:ptCount val="1"/>
                    <c:pt idx="0">
                      <c:v>02:32 (85%)</c:v>
                    </c:pt>
                  </c:strCache>
                </c:strRef>
              </c:tx>
              <c:spPr>
                <a:noFill/>
                <a:ln>
                  <a:noFill/>
                </a:ln>
                <a:effectLst/>
              </c:spPr>
              <c:txPr>
                <a:bodyPr anchorCtr="0"/>
                <a:lstStyle/>
                <a:p>
                  <a:pPr algn="ctr" rtl="0">
                    <a:defRPr lang="en-US" sz="9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dlblFTEntry>
                      <c15:txfldGUID>{3F05EC55-9B87-4880-88F1-34CC66412738}</c15:txfldGUID>
                      <c15:f>Data!$I$185</c15:f>
                      <c15:dlblFieldTableCache>
                        <c:ptCount val="1"/>
                        <c:pt idx="0">
                          <c:v>02:32 (85%)</c:v>
                        </c:pt>
                      </c15:dlblFieldTableCache>
                    </c15:dlblFTEntry>
                  </c15:dlblFieldTable>
                  <c15:showDataLabelsRange val="0"/>
                </c:ext>
                <c:ext xmlns:c16="http://schemas.microsoft.com/office/drawing/2014/chart" uri="{C3380CC4-5D6E-409C-BE32-E72D297353CC}">
                  <c16:uniqueId val="{00000001-5520-4CFB-853E-CEAAC60E0B5B}"/>
                </c:ext>
              </c:extLst>
            </c:dLbl>
            <c:spPr>
              <a:noFill/>
              <a:ln>
                <a:solidFill>
                  <a:schemeClr val="bg1"/>
                </a:solidFill>
              </a:ln>
              <a:effectLst/>
            </c:spPr>
            <c:txPr>
              <a:bodyPr/>
              <a:lstStyle/>
              <a:p>
                <a:pPr>
                  <a:defRPr sz="900" b="1">
                    <a:solidFill>
                      <a:schemeClr val="bg1"/>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Data!$A$184:$A$185</c:f>
              <c:strCache>
                <c:ptCount val="2"/>
                <c:pt idx="0">
                  <c:v>Cohort</c:v>
                </c:pt>
                <c:pt idx="1">
                  <c:v>MHN</c:v>
                </c:pt>
              </c:strCache>
            </c:strRef>
          </c:cat>
          <c:val>
            <c:numRef>
              <c:f>Data!$B$184:$B$185</c:f>
              <c:numCache>
                <c:formatCode>mm:ss</c:formatCode>
                <c:ptCount val="2"/>
                <c:pt idx="0">
                  <c:v>1.3461835752566842E-3</c:v>
                </c:pt>
                <c:pt idx="1">
                  <c:v>1.7551762446002407E-3</c:v>
                </c:pt>
              </c:numCache>
            </c:numRef>
          </c:val>
          <c:extLst>
            <c:ext xmlns:c16="http://schemas.microsoft.com/office/drawing/2014/chart" uri="{C3380CC4-5D6E-409C-BE32-E72D297353CC}">
              <c16:uniqueId val="{00000002-5520-4CFB-853E-CEAAC60E0B5B}"/>
            </c:ext>
          </c:extLst>
        </c:ser>
        <c:ser>
          <c:idx val="1"/>
          <c:order val="1"/>
          <c:tx>
            <c:strRef>
              <c:f>Data!$C$183</c:f>
              <c:strCache>
                <c:ptCount val="1"/>
                <c:pt idx="0">
                  <c:v>White</c:v>
                </c:pt>
              </c:strCache>
            </c:strRef>
          </c:tx>
          <c:spPr>
            <a:solidFill>
              <a:sysClr val="window" lastClr="FFFFFF"/>
            </a:solidFill>
          </c:spPr>
          <c:invertIfNegative val="0"/>
          <c:dLbls>
            <c:dLbl>
              <c:idx val="0"/>
              <c:tx>
                <c:strRef>
                  <c:f>Data!$J$184</c:f>
                  <c:strCache>
                    <c:ptCount val="1"/>
                    <c:pt idx="0">
                      <c:v>02:08 (52%)</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{0709BF28-C651-4608-8BCA-B018624F7BE8}</c15:txfldGUID>
                      <c15:f>Data!$J$184</c15:f>
                      <c15:dlblFieldTableCache>
                        <c:ptCount val="1"/>
                        <c:pt idx="0">
                          <c:v>02:08 (52%)</c:v>
                        </c:pt>
                      </c15:dlblFieldTableCache>
                    </c15:dlblFTEntry>
                  </c15:dlblFieldTable>
                  <c15:showDataLabelsRange val="1"/>
                </c:ext>
                <c:ext xmlns:c16="http://schemas.microsoft.com/office/drawing/2014/chart" uri="{C3380CC4-5D6E-409C-BE32-E72D297353CC}">
                  <c16:uniqueId val="{00000003-5520-4CFB-853E-CEAAC60E0B5B}"/>
                </c:ext>
              </c:extLst>
            </c:dLbl>
            <c:dLbl>
              <c:idx val="1"/>
              <c:layout>
                <c:manualLayout>
                  <c:x val="1.9248182227990258E-2"/>
                  <c:y val="6.7039058961644174E-3"/>
                </c:manualLayout>
              </c:layout>
              <c:tx>
                <c:strRef>
                  <c:f>Data!$J$185</c:f>
                  <c:strCache>
                    <c:ptCount val="1"/>
                    <c:pt idx="0">
                      <c:v>00:27 (15%)</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{216ED3FD-1064-4B80-960D-18811B30B397}</c15:txfldGUID>
                      <c15:f>Data!$J$185</c15:f>
                      <c15:dlblFieldTableCache>
                        <c:ptCount val="1"/>
                        <c:pt idx="0">
                          <c:v>00:27 (15%)</c:v>
                        </c:pt>
                      </c15:dlblFieldTableCache>
                    </c15:dlblFTEntry>
                  </c15:dlblFieldTable>
                  <c15:showDataLabelsRange val="1"/>
                </c:ext>
                <c:ext xmlns:c16="http://schemas.microsoft.com/office/drawing/2014/chart" uri="{C3380CC4-5D6E-409C-BE32-E72D297353CC}">
                  <c16:uniqueId val="{00000004-5520-4CFB-853E-CEAAC60E0B5B}"/>
                </c:ext>
              </c:extLst>
            </c:dLbl>
            <c:spPr>
              <a:noFill/>
              <a:ln>
                <a:noFill/>
              </a:ln>
              <a:effectLst/>
            </c:spPr>
            <c:txPr>
              <a:bodyPr/>
              <a:lstStyle/>
              <a:p>
                <a:pPr>
                  <a:defRPr sz="900" b="1"/>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Data!$A$184:$A$185</c:f>
              <c:strCache>
                <c:ptCount val="2"/>
                <c:pt idx="0">
                  <c:v>Cohort</c:v>
                </c:pt>
                <c:pt idx="1">
                  <c:v>MHN</c:v>
                </c:pt>
              </c:strCache>
            </c:strRef>
          </c:cat>
          <c:val>
            <c:numRef>
              <c:f>Data!$C$184:$C$185</c:f>
              <c:numCache>
                <c:formatCode>mm:ss</c:formatCode>
                <c:ptCount val="2"/>
                <c:pt idx="0">
                  <c:v>1.4811174959867706E-3</c:v>
                </c:pt>
                <c:pt idx="1">
                  <c:v>3.0996925804526186E-4</c:v>
                </c:pt>
              </c:numCache>
            </c:numRef>
          </c:val>
          <c:extLst>
            <c:ext xmlns:c15="http://schemas.microsoft.com/office/drawing/2012/chart" uri="{02D57815-91ED-43cb-92C2-25804820EDAC}">
              <c15:datalabelsRange>
                <c15:f>Data!$J$184:$J$185</c15:f>
                <c15:dlblRangeCache>
                  <c:ptCount val="2"/>
                  <c:pt idx="0">
                    <c:v>02:08 (52%)</c:v>
                  </c:pt>
                  <c:pt idx="1">
                    <c:v>00:27 (15%)</c:v>
                  </c:pt>
                </c15:dlblRangeCache>
              </c15:datalabelsRange>
            </c:ext>
            <c:ext xmlns:c16="http://schemas.microsoft.com/office/drawing/2014/chart" uri="{C3380CC4-5D6E-409C-BE32-E72D297353CC}">
              <c16:uniqueId val="{00000005-5520-4CFB-853E-CEAAC60E0B5B}"/>
            </c:ext>
          </c:extLst>
        </c:ser>
        <c:dLbls>
          <c:showLegendKey val="0"/>
          <c:showVal val="0"/>
          <c:showCatName val="0"/>
          <c:showSerName val="0"/>
          <c:showPercent val="0"/>
          <c:showBubbleSize val="0"/>
        </c:dLbls>
        <c:gapWidth val="55"/>
        <c:overlap val="100"/>
        <c:axId val="169223168"/>
        <c:axId val="77364544"/>
      </c:barChart>
      <c:catAx>
        <c:axId val="169223168"/>
        <c:scaling>
          <c:orientation val="minMax"/>
        </c:scaling>
        <c:delete val="0"/>
        <c:axPos val="l"/>
        <c:numFmt formatCode="General" sourceLinked="0"/>
        <c:majorTickMark val="none"/>
        <c:minorTickMark val="none"/>
        <c:tickLblPos val="nextTo"/>
        <c:txPr>
          <a:bodyPr/>
          <a:lstStyle/>
          <a:p>
            <a:pPr>
              <a:defRPr sz="800"/>
            </a:pPr>
            <a:endParaRPr lang="en-US"/>
          </a:p>
        </c:txPr>
        <c:crossAx val="77364544"/>
        <c:crosses val="autoZero"/>
        <c:auto val="1"/>
        <c:lblAlgn val="ctr"/>
        <c:lblOffset val="100"/>
        <c:noMultiLvlLbl val="0"/>
      </c:catAx>
      <c:valAx>
        <c:axId val="77364544"/>
        <c:scaling>
          <c:orientation val="minMax"/>
        </c:scaling>
        <c:delete val="0"/>
        <c:axPos val="b"/>
        <c:title>
          <c:tx>
            <c:rich>
              <a:bodyPr/>
              <a:lstStyle/>
              <a:p>
                <a:pPr>
                  <a:defRPr sz="900"/>
                </a:pPr>
                <a:r>
                  <a:rPr lang="en-IN" sz="900"/>
                  <a:t>time (min:sec)</a:t>
                </a:r>
              </a:p>
            </c:rich>
          </c:tx>
          <c:layout>
            <c:manualLayout>
              <c:xMode val="edge"/>
              <c:yMode val="edge"/>
              <c:x val="0.82485732584529459"/>
              <c:y val="3.1875225003140849E-2"/>
            </c:manualLayout>
          </c:layout>
          <c:overlay val="0"/>
        </c:title>
        <c:numFmt formatCode="mm:ss" sourceLinked="1"/>
        <c:majorTickMark val="none"/>
        <c:minorTickMark val="none"/>
        <c:tickLblPos val="nextTo"/>
        <c:txPr>
          <a:bodyPr/>
          <a:lstStyle/>
          <a:p>
            <a:pPr>
              <a:defRPr sz="900"/>
            </a:pPr>
            <a:endParaRPr lang="en-US"/>
          </a:p>
        </c:txPr>
        <c:crossAx val="169223168"/>
        <c:crosses val="autoZero"/>
        <c:crossBetween val="between"/>
      </c:valAx>
    </c:plotArea>
    <c:legend>
      <c:legendPos val="r"/>
      <c:layout>
        <c:manualLayout>
          <c:xMode val="edge"/>
          <c:yMode val="edge"/>
          <c:x val="0.36191363293281953"/>
          <c:y val="0.81034966939714503"/>
          <c:w val="0.30811381714584191"/>
          <c:h val="0.12118444820520115"/>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Data!$B$202</c:f>
          <c:strCache>
            <c:ptCount val="1"/>
            <c:pt idx="0">
              <c:v>MHN</c:v>
            </c:pt>
          </c:strCache>
        </c:strRef>
      </c:tx>
      <c:overlay val="0"/>
      <c:txPr>
        <a:bodyPr/>
        <a:lstStyle/>
        <a:p>
          <a:pPr>
            <a:defRPr sz="1000"/>
          </a:pPr>
          <a:endParaRPr lang="en-US"/>
        </a:p>
      </c:txPr>
    </c:title>
    <c:autoTitleDeleted val="0"/>
    <c:plotArea>
      <c:layout>
        <c:manualLayout>
          <c:layoutTarget val="inner"/>
          <c:xMode val="edge"/>
          <c:yMode val="edge"/>
          <c:x val="0.19964053016469088"/>
          <c:y val="0.28516933665106226"/>
          <c:w val="0.73995514920693584"/>
          <c:h val="0.35637335410372106"/>
        </c:manualLayout>
      </c:layout>
      <c:barChart>
        <c:barDir val="bar"/>
        <c:grouping val="stacked"/>
        <c:varyColors val="0"/>
        <c:ser>
          <c:idx val="2"/>
          <c:order val="0"/>
          <c:tx>
            <c:strRef>
              <c:f>Data!$A$204</c:f>
              <c:strCache>
                <c:ptCount val="1"/>
                <c:pt idx="0">
                  <c:v>Pharm</c:v>
                </c:pt>
              </c:strCache>
            </c:strRef>
          </c:tx>
          <c:spPr>
            <a:solidFill>
              <a:schemeClr val="accent1"/>
            </a:solidFill>
            <a:ln>
              <a:solidFill>
                <a:schemeClr val="accent1"/>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Data!$D$203</c:f>
              <c:strCache>
                <c:ptCount val="1"/>
                <c:pt idx="0">
                  <c:v>Script processing</c:v>
                </c:pt>
              </c:strCache>
            </c:strRef>
          </c:cat>
          <c:val>
            <c:numRef>
              <c:f>Data!$D$204</c:f>
              <c:numCache>
                <c:formatCode>0%</c:formatCode>
                <c:ptCount val="1"/>
                <c:pt idx="0">
                  <c:v>0.4</c:v>
                </c:pt>
              </c:numCache>
            </c:numRef>
          </c:val>
          <c:extLst>
            <c:ext xmlns:c16="http://schemas.microsoft.com/office/drawing/2014/chart" uri="{C3380CC4-5D6E-409C-BE32-E72D297353CC}">
              <c16:uniqueId val="{00000000-DE7F-45F2-8469-0404498AEE19}"/>
            </c:ext>
          </c:extLst>
        </c:ser>
        <c:ser>
          <c:idx val="0"/>
          <c:order val="1"/>
          <c:tx>
            <c:strRef>
              <c:f>Data!$A$205</c:f>
              <c:strCache>
                <c:ptCount val="1"/>
                <c:pt idx="0">
                  <c:v>Tech</c:v>
                </c:pt>
              </c:strCache>
            </c:strRef>
          </c:tx>
          <c:spPr>
            <a:solidFill>
              <a:schemeClr val="accent2"/>
            </a:solidFill>
            <a:ln>
              <a:solidFill>
                <a:schemeClr val="accent2"/>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Data!$D$203</c:f>
              <c:strCache>
                <c:ptCount val="1"/>
                <c:pt idx="0">
                  <c:v>Script processing</c:v>
                </c:pt>
              </c:strCache>
            </c:strRef>
          </c:cat>
          <c:val>
            <c:numRef>
              <c:f>Data!$D$205</c:f>
              <c:numCache>
                <c:formatCode>0%</c:formatCode>
                <c:ptCount val="1"/>
                <c:pt idx="0">
                  <c:v>0.13333333333333333</c:v>
                </c:pt>
              </c:numCache>
            </c:numRef>
          </c:val>
          <c:extLst>
            <c:ext xmlns:c16="http://schemas.microsoft.com/office/drawing/2014/chart" uri="{C3380CC4-5D6E-409C-BE32-E72D297353CC}">
              <c16:uniqueId val="{00000001-DE7F-45F2-8469-0404498AEE19}"/>
            </c:ext>
          </c:extLst>
        </c:ser>
        <c:ser>
          <c:idx val="1"/>
          <c:order val="2"/>
          <c:tx>
            <c:strRef>
              <c:f>Data!$A$206</c:f>
              <c:strCache>
                <c:ptCount val="1"/>
                <c:pt idx="0">
                  <c:v>Other</c:v>
                </c:pt>
              </c:strCache>
            </c:strRef>
          </c:tx>
          <c:spPr>
            <a:solidFill>
              <a:schemeClr val="accent3"/>
            </a:solidFill>
            <a:ln>
              <a:solidFill>
                <a:schemeClr val="accent3"/>
              </a:solidFill>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Data!$D$203</c:f>
              <c:strCache>
                <c:ptCount val="1"/>
                <c:pt idx="0">
                  <c:v>Script processing</c:v>
                </c:pt>
              </c:strCache>
            </c:strRef>
          </c:cat>
          <c:val>
            <c:numRef>
              <c:f>Data!$D$206</c:f>
              <c:numCache>
                <c:formatCode>0%</c:formatCode>
                <c:ptCount val="1"/>
                <c:pt idx="0">
                  <c:v>0.16666666666666666</c:v>
                </c:pt>
              </c:numCache>
            </c:numRef>
          </c:val>
          <c:extLst>
            <c:ext xmlns:c16="http://schemas.microsoft.com/office/drawing/2014/chart" uri="{C3380CC4-5D6E-409C-BE32-E72D297353CC}">
              <c16:uniqueId val="{00000002-DE7F-45F2-8469-0404498AEE19}"/>
            </c:ext>
          </c:extLst>
        </c:ser>
        <c:ser>
          <c:idx val="3"/>
          <c:order val="3"/>
          <c:tx>
            <c:strRef>
              <c:f>Data!$A$207</c:f>
              <c:strCache>
                <c:ptCount val="1"/>
                <c:pt idx="0">
                  <c:v>Student (pre reg)</c:v>
                </c:pt>
              </c:strCache>
            </c:strRef>
          </c:tx>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Data!$D$203</c:f>
              <c:strCache>
                <c:ptCount val="1"/>
                <c:pt idx="0">
                  <c:v>Script processing</c:v>
                </c:pt>
              </c:strCache>
            </c:strRef>
          </c:cat>
          <c:val>
            <c:numRef>
              <c:f>Data!$D$207</c:f>
              <c:numCache>
                <c:formatCode>0%</c:formatCode>
                <c:ptCount val="1"/>
                <c:pt idx="0">
                  <c:v>0.3</c:v>
                </c:pt>
              </c:numCache>
            </c:numRef>
          </c:val>
          <c:extLst>
            <c:ext xmlns:c16="http://schemas.microsoft.com/office/drawing/2014/chart" uri="{C3380CC4-5D6E-409C-BE32-E72D297353CC}">
              <c16:uniqueId val="{00000003-DE7F-45F2-8469-0404498AEE19}"/>
            </c:ext>
          </c:extLst>
        </c:ser>
        <c:dLbls>
          <c:showLegendKey val="0"/>
          <c:showVal val="0"/>
          <c:showCatName val="0"/>
          <c:showSerName val="0"/>
          <c:showPercent val="0"/>
          <c:showBubbleSize val="0"/>
        </c:dLbls>
        <c:gapWidth val="55"/>
        <c:overlap val="100"/>
        <c:axId val="169414656"/>
        <c:axId val="146286848"/>
      </c:barChart>
      <c:catAx>
        <c:axId val="169414656"/>
        <c:scaling>
          <c:orientation val="minMax"/>
        </c:scaling>
        <c:delete val="0"/>
        <c:axPos val="l"/>
        <c:numFmt formatCode="General" sourceLinked="0"/>
        <c:majorTickMark val="none"/>
        <c:minorTickMark val="none"/>
        <c:tickLblPos val="nextTo"/>
        <c:txPr>
          <a:bodyPr/>
          <a:lstStyle/>
          <a:p>
            <a:pPr>
              <a:defRPr sz="800"/>
            </a:pPr>
            <a:endParaRPr lang="en-US"/>
          </a:p>
        </c:txPr>
        <c:crossAx val="146286848"/>
        <c:crosses val="autoZero"/>
        <c:auto val="1"/>
        <c:lblAlgn val="ctr"/>
        <c:lblOffset val="100"/>
        <c:noMultiLvlLbl val="0"/>
      </c:catAx>
      <c:valAx>
        <c:axId val="146286848"/>
        <c:scaling>
          <c:orientation val="minMax"/>
          <c:max val="1"/>
          <c:min val="0"/>
        </c:scaling>
        <c:delete val="0"/>
        <c:axPos val="b"/>
        <c:majorGridlines/>
        <c:numFmt formatCode="0%" sourceLinked="1"/>
        <c:majorTickMark val="none"/>
        <c:minorTickMark val="none"/>
        <c:tickLblPos val="nextTo"/>
        <c:txPr>
          <a:bodyPr/>
          <a:lstStyle/>
          <a:p>
            <a:pPr>
              <a:defRPr sz="900"/>
            </a:pPr>
            <a:endParaRPr lang="en-US"/>
          </a:p>
        </c:txPr>
        <c:crossAx val="169414656"/>
        <c:crosses val="autoZero"/>
        <c:crossBetween val="between"/>
      </c:valAx>
    </c:plotArea>
    <c:legend>
      <c:legendPos val="r"/>
      <c:layout>
        <c:manualLayout>
          <c:xMode val="edge"/>
          <c:yMode val="edge"/>
          <c:x val="0.20822592335555729"/>
          <c:y val="0.83403162057438873"/>
          <c:w val="0.75039476221408075"/>
          <c:h val="0.11710582948809825"/>
        </c:manualLayout>
      </c:layout>
      <c:overlay val="0"/>
      <c:txPr>
        <a:bodyPr/>
        <a:lstStyle/>
        <a:p>
          <a:pPr>
            <a:defRPr sz="9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pPr>
            <a:r>
              <a:rPr lang="en-AU" sz="1000"/>
              <a:t>Engaged vs Disengaged</a:t>
            </a:r>
          </a:p>
        </c:rich>
      </c:tx>
      <c:layout>
        <c:manualLayout>
          <c:xMode val="edge"/>
          <c:yMode val="edge"/>
          <c:x val="0.39021458066533998"/>
          <c:y val="2.0671840233260956E-2"/>
        </c:manualLayout>
      </c:layout>
      <c:overlay val="0"/>
    </c:title>
    <c:autoTitleDeleted val="0"/>
    <c:plotArea>
      <c:layout>
        <c:manualLayout>
          <c:layoutTarget val="inner"/>
          <c:xMode val="edge"/>
          <c:yMode val="edge"/>
          <c:x val="0.11918630944078915"/>
          <c:y val="0.18745940913261339"/>
          <c:w val="0.78317065439283895"/>
          <c:h val="0.52966951641458482"/>
        </c:manualLayout>
      </c:layout>
      <c:barChart>
        <c:barDir val="bar"/>
        <c:grouping val="stacked"/>
        <c:varyColors val="0"/>
        <c:ser>
          <c:idx val="0"/>
          <c:order val="0"/>
          <c:tx>
            <c:strRef>
              <c:f>Data!$B$13</c:f>
              <c:strCache>
                <c:ptCount val="1"/>
                <c:pt idx="0">
                  <c:v>Engaged</c:v>
                </c:pt>
              </c:strCache>
            </c:strRef>
          </c:tx>
          <c:spPr>
            <a:solidFill>
              <a:schemeClr val="accent3">
                <a:lumMod val="75000"/>
              </a:schemeClr>
            </a:solidFill>
          </c:spPr>
          <c:invertIfNegative val="0"/>
          <c:dLbls>
            <c:dLbl>
              <c:idx val="0"/>
              <c:tx>
                <c:strRef>
                  <c:f>Data!$I$14</c:f>
                  <c:strCache>
                    <c:ptCount val="1"/>
                    <c:pt idx="0">
                      <c:v>02:14 (45%)</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{24716A47-7BE0-40AF-B274-427B8F0E4064}</c15:txfldGUID>
                      <c15:f>Data!$I$14</c15:f>
                      <c15:dlblFieldTableCache>
                        <c:ptCount val="1"/>
                        <c:pt idx="0">
                          <c:v>02:14 (45%)</c:v>
                        </c:pt>
                      </c15:dlblFieldTableCache>
                    </c15:dlblFTEntry>
                  </c15:dlblFieldTable>
                  <c15:showDataLabelsRange val="1"/>
                </c:ext>
                <c:ext xmlns:c16="http://schemas.microsoft.com/office/drawing/2014/chart" uri="{C3380CC4-5D6E-409C-BE32-E72D297353CC}">
                  <c16:uniqueId val="{00000000-36CB-44A6-BA90-5CD25A67CAB8}"/>
                </c:ext>
              </c:extLst>
            </c:dLbl>
            <c:dLbl>
              <c:idx val="1"/>
              <c:tx>
                <c:strRef>
                  <c:f>Data!$I$15</c:f>
                  <c:strCache>
                    <c:ptCount val="1"/>
                    <c:pt idx="0">
                      <c:v>02:12 (37%)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{B3D57837-202A-4A17-96EF-B823DD7AE9D0}</c15:txfldGUID>
                      <c15:f>Data!$I$15</c15:f>
                      <c15:dlblFieldTableCache>
                        <c:ptCount val="1"/>
                        <c:pt idx="0">
                          <c:v>02:12 (37%)</c:v>
                        </c:pt>
                      </c15:dlblFieldTableCache>
                    </c15:dlblFTEntry>
                  </c15:dlblFieldTable>
                  <c15:showDataLabelsRange val="0"/>
                </c:ext>
                <c:ext xmlns:c16="http://schemas.microsoft.com/office/drawing/2014/chart" uri="{C3380CC4-5D6E-409C-BE32-E72D297353CC}">
                  <c16:uniqueId val="{00000001-36CB-44A6-BA90-5CD25A67CAB8}"/>
                </c:ext>
              </c:extLst>
            </c:dLbl>
            <c:spPr>
              <a:noFill/>
              <a:ln>
                <a:noFill/>
              </a:ln>
              <a:effectLst/>
            </c:spPr>
            <c:txPr>
              <a:bodyPr/>
              <a:lstStyle/>
              <a:p>
                <a:pPr>
                  <a:defRPr sz="900"/>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Data!$A$14:$A$15</c:f>
              <c:strCache>
                <c:ptCount val="2"/>
                <c:pt idx="0">
                  <c:v>Cohort</c:v>
                </c:pt>
                <c:pt idx="1">
                  <c:v>MHN</c:v>
                </c:pt>
              </c:strCache>
            </c:strRef>
          </c:cat>
          <c:val>
            <c:numRef>
              <c:f>Data!$B$14:$B$15</c:f>
              <c:numCache>
                <c:formatCode>mm:ss</c:formatCode>
                <c:ptCount val="2"/>
                <c:pt idx="0">
                  <c:v>1.5505365040436845E-3</c:v>
                </c:pt>
                <c:pt idx="1">
                  <c:v>1.5230537617941713E-3</c:v>
                </c:pt>
              </c:numCache>
            </c:numRef>
          </c:val>
          <c:extLst>
            <c:ext xmlns:c15="http://schemas.microsoft.com/office/drawing/2012/chart" uri="{02D57815-91ED-43cb-92C2-25804820EDAC}">
              <c15:datalabelsRange>
                <c15:f>Data!$I$14:$I$15</c15:f>
                <c15:dlblRangeCache>
                  <c:ptCount val="2"/>
                  <c:pt idx="0">
                    <c:v>02:14 (45%)</c:v>
                  </c:pt>
                  <c:pt idx="1">
                    <c:v>02:12 (37%)</c:v>
                  </c:pt>
                </c15:dlblRangeCache>
              </c15:datalabelsRange>
            </c:ext>
            <c:ext xmlns:c16="http://schemas.microsoft.com/office/drawing/2014/chart" uri="{C3380CC4-5D6E-409C-BE32-E72D297353CC}">
              <c16:uniqueId val="{00000002-36CB-44A6-BA90-5CD25A67CAB8}"/>
            </c:ext>
          </c:extLst>
        </c:ser>
        <c:ser>
          <c:idx val="1"/>
          <c:order val="1"/>
          <c:tx>
            <c:strRef>
              <c:f>Data!$C$13</c:f>
              <c:strCache>
                <c:ptCount val="1"/>
                <c:pt idx="0">
                  <c:v>Disengaged</c:v>
                </c:pt>
              </c:strCache>
            </c:strRef>
          </c:tx>
          <c:invertIfNegative val="0"/>
          <c:dLbls>
            <c:dLbl>
              <c:idx val="0"/>
              <c:tx>
                <c:strRef>
                  <c:f>Data!$J$14</c:f>
                  <c:strCache>
                    <c:ptCount val="1"/>
                    <c:pt idx="0">
                      <c:v>02:41 (55%)</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{89A58806-8CAF-4F66-81F2-D58B48361334}</c15:txfldGUID>
                      <c15:f>Data!$J$14</c15:f>
                      <c15:dlblFieldTableCache>
                        <c:ptCount val="1"/>
                        <c:pt idx="0">
                          <c:v>02:41 (55%)</c:v>
                        </c:pt>
                      </c15:dlblFieldTableCache>
                    </c15:dlblFTEntry>
                  </c15:dlblFieldTable>
                  <c15:showDataLabelsRange val="1"/>
                </c:ext>
                <c:ext xmlns:c16="http://schemas.microsoft.com/office/drawing/2014/chart" uri="{C3380CC4-5D6E-409C-BE32-E72D297353CC}">
                  <c16:uniqueId val="{00000003-36CB-44A6-BA90-5CD25A67CAB8}"/>
                </c:ext>
              </c:extLst>
            </c:dLbl>
            <c:dLbl>
              <c:idx val="1"/>
              <c:tx>
                <c:strRef>
                  <c:f>Data!$J$15</c:f>
                  <c:strCache>
                    <c:ptCount val="1"/>
                    <c:pt idx="0">
                      <c:v>03:49 (63%)</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{52B0EC67-25FF-48E7-9FA2-13D6075F86BC}</c15:txfldGUID>
                      <c15:f>Data!$J$15</c15:f>
                      <c15:dlblFieldTableCache>
                        <c:ptCount val="1"/>
                        <c:pt idx="0">
                          <c:v>03:49 (63%)</c:v>
                        </c:pt>
                      </c15:dlblFieldTableCache>
                    </c15:dlblFTEntry>
                  </c15:dlblFieldTable>
                  <c15:showDataLabelsRange val="0"/>
                </c:ext>
                <c:ext xmlns:c16="http://schemas.microsoft.com/office/drawing/2014/chart" uri="{C3380CC4-5D6E-409C-BE32-E72D297353CC}">
                  <c16:uniqueId val="{00000004-36CB-44A6-BA90-5CD25A67CAB8}"/>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Data!$A$14:$A$15</c:f>
              <c:strCache>
                <c:ptCount val="2"/>
                <c:pt idx="0">
                  <c:v>Cohort</c:v>
                </c:pt>
                <c:pt idx="1">
                  <c:v>MHN</c:v>
                </c:pt>
              </c:strCache>
            </c:strRef>
          </c:cat>
          <c:val>
            <c:numRef>
              <c:f>Data!$C$14:$C$15</c:f>
              <c:numCache>
                <c:formatCode>mm:ss</c:formatCode>
                <c:ptCount val="2"/>
                <c:pt idx="0">
                  <c:v>1.858488461687289E-3</c:v>
                </c:pt>
                <c:pt idx="1">
                  <c:v>2.6466502708180368E-3</c:v>
                </c:pt>
              </c:numCache>
            </c:numRef>
          </c:val>
          <c:extLst>
            <c:ext xmlns:c15="http://schemas.microsoft.com/office/drawing/2012/chart" uri="{02D57815-91ED-43cb-92C2-25804820EDAC}">
              <c15:datalabelsRange>
                <c15:f>Data!$J$14:$J$15</c15:f>
                <c15:dlblRangeCache>
                  <c:ptCount val="2"/>
                  <c:pt idx="0">
                    <c:v>02:41 (55%)</c:v>
                  </c:pt>
                  <c:pt idx="1">
                    <c:v>03:49 (63%)</c:v>
                  </c:pt>
                </c15:dlblRangeCache>
              </c15:datalabelsRange>
            </c:ext>
            <c:ext xmlns:c16="http://schemas.microsoft.com/office/drawing/2014/chart" uri="{C3380CC4-5D6E-409C-BE32-E72D297353CC}">
              <c16:uniqueId val="{00000005-36CB-44A6-BA90-5CD25A67CAB8}"/>
            </c:ext>
          </c:extLst>
        </c:ser>
        <c:dLbls>
          <c:showLegendKey val="0"/>
          <c:showVal val="0"/>
          <c:showCatName val="0"/>
          <c:showSerName val="0"/>
          <c:showPercent val="0"/>
          <c:showBubbleSize val="0"/>
        </c:dLbls>
        <c:gapWidth val="55"/>
        <c:overlap val="100"/>
        <c:axId val="171286016"/>
        <c:axId val="146843328"/>
      </c:barChart>
      <c:catAx>
        <c:axId val="171286016"/>
        <c:scaling>
          <c:orientation val="minMax"/>
        </c:scaling>
        <c:delete val="0"/>
        <c:axPos val="l"/>
        <c:numFmt formatCode="General" sourceLinked="0"/>
        <c:majorTickMark val="none"/>
        <c:minorTickMark val="none"/>
        <c:tickLblPos val="nextTo"/>
        <c:txPr>
          <a:bodyPr/>
          <a:lstStyle/>
          <a:p>
            <a:pPr>
              <a:defRPr sz="800"/>
            </a:pPr>
            <a:endParaRPr lang="en-US"/>
          </a:p>
        </c:txPr>
        <c:crossAx val="146843328"/>
        <c:crosses val="autoZero"/>
        <c:auto val="1"/>
        <c:lblAlgn val="ctr"/>
        <c:lblOffset val="100"/>
        <c:noMultiLvlLbl val="0"/>
      </c:catAx>
      <c:valAx>
        <c:axId val="146843328"/>
        <c:scaling>
          <c:orientation val="minMax"/>
        </c:scaling>
        <c:delete val="0"/>
        <c:axPos val="b"/>
        <c:majorGridlines>
          <c:spPr>
            <a:ln>
              <a:noFill/>
            </a:ln>
          </c:spPr>
        </c:majorGridlines>
        <c:title>
          <c:tx>
            <c:rich>
              <a:bodyPr/>
              <a:lstStyle/>
              <a:p>
                <a:pPr>
                  <a:defRPr sz="900"/>
                </a:pPr>
                <a:r>
                  <a:rPr lang="en-IN" sz="900"/>
                  <a:t>time (min:sec)</a:t>
                </a:r>
              </a:p>
            </c:rich>
          </c:tx>
          <c:layout>
            <c:manualLayout>
              <c:xMode val="edge"/>
              <c:yMode val="edge"/>
              <c:x val="0.85840434668061405"/>
              <c:y val="2.2802529588144153E-2"/>
            </c:manualLayout>
          </c:layout>
          <c:overlay val="0"/>
        </c:title>
        <c:numFmt formatCode="mm:ss" sourceLinked="1"/>
        <c:majorTickMark val="none"/>
        <c:minorTickMark val="none"/>
        <c:tickLblPos val="nextTo"/>
        <c:txPr>
          <a:bodyPr/>
          <a:lstStyle/>
          <a:p>
            <a:pPr>
              <a:defRPr sz="900"/>
            </a:pPr>
            <a:endParaRPr lang="en-US"/>
          </a:p>
        </c:txPr>
        <c:crossAx val="171286016"/>
        <c:crosses val="autoZero"/>
        <c:crossBetween val="between"/>
      </c:valAx>
      <c:spPr>
        <a:ln>
          <a:noFill/>
        </a:ln>
      </c:spPr>
    </c:plotArea>
    <c:legend>
      <c:legendPos val="r"/>
      <c:layout>
        <c:manualLayout>
          <c:xMode val="edge"/>
          <c:yMode val="edge"/>
          <c:x val="0.27065702398591102"/>
          <c:y val="0.83214591006552718"/>
          <c:w val="0.47432521903619401"/>
          <c:h val="0.13539153366420001"/>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000"/>
            </a:pPr>
            <a:r>
              <a:rPr lang="en-AU" sz="1000"/>
              <a:t>Visit engagement effectiveness</a:t>
            </a:r>
          </a:p>
        </c:rich>
      </c:tx>
      <c:layout>
        <c:manualLayout>
          <c:xMode val="edge"/>
          <c:yMode val="edge"/>
          <c:x val="0.30714197663323101"/>
          <c:y val="2.7652698749394206E-2"/>
        </c:manualLayout>
      </c:layout>
      <c:overlay val="0"/>
    </c:title>
    <c:autoTitleDeleted val="0"/>
    <c:plotArea>
      <c:layout>
        <c:manualLayout>
          <c:layoutTarget val="inner"/>
          <c:xMode val="edge"/>
          <c:yMode val="edge"/>
          <c:x val="0.10264533165848402"/>
          <c:y val="0.13474133287948642"/>
          <c:w val="0.85619930813211864"/>
          <c:h val="0.64828567069975318"/>
        </c:manualLayout>
      </c:layout>
      <c:barChart>
        <c:barDir val="bar"/>
        <c:grouping val="stacked"/>
        <c:varyColors val="0"/>
        <c:ser>
          <c:idx val="0"/>
          <c:order val="0"/>
          <c:tx>
            <c:strRef>
              <c:f>Data!$B$23</c:f>
              <c:strCache>
                <c:ptCount val="1"/>
                <c:pt idx="0">
                  <c:v>PSS</c:v>
                </c:pt>
              </c:strCache>
            </c:strRef>
          </c:tx>
          <c:invertIfNegative val="0"/>
          <c:dLbls>
            <c:dLbl>
              <c:idx val="0"/>
              <c:layout>
                <c:manualLayout>
                  <c:x val="0"/>
                  <c:y val="-1.313148754938526E-2"/>
                </c:manualLayout>
              </c:layout>
              <c:tx>
                <c:strRef>
                  <c:f>Data!$Q$24</c:f>
                  <c:strCache>
                    <c:ptCount val="1"/>
                    <c:pt idx="0">
                      <c:v>0:04
</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{4DF7DA39-B3A3-4C5A-AD8E-50C37E09F76D}</c15:txfldGUID>
                      <c15:f>Data!$Q$24</c15:f>
                      <c15:dlblFieldTableCache>
                        <c:ptCount val="1"/>
                        <c:pt idx="0">
                          <c:v>0:04
</c:v>
                        </c:pt>
                      </c15:dlblFieldTableCache>
                    </c15:dlblFTEntry>
                  </c15:dlblFieldTable>
                  <c15:showDataLabelsRange val="0"/>
                </c:ext>
                <c:ext xmlns:c16="http://schemas.microsoft.com/office/drawing/2014/chart" uri="{C3380CC4-5D6E-409C-BE32-E72D297353CC}">
                  <c16:uniqueId val="{00000000-446F-4652-B972-8516B719D3F2}"/>
                </c:ext>
              </c:extLst>
            </c:dLbl>
            <c:dLbl>
              <c:idx val="1"/>
              <c:layout>
                <c:manualLayout>
                  <c:x val="-1.0084032946203077E-2"/>
                  <c:y val="6.5657437746926336E-3"/>
                </c:manualLayout>
              </c:layout>
              <c:tx>
                <c:strRef>
                  <c:f>Data!$Q$25</c:f>
                  <c:strCache>
                    <c:ptCount val="1"/>
                    <c:pt idx="0">
                      <c:v>0:07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{AACA2ED0-4BD7-4F7A-99CA-F689C0187C67}</c15:txfldGUID>
                      <c15:f>Data!$Q$25</c15:f>
                      <c15:dlblFieldTableCache>
                        <c:ptCount val="1"/>
                        <c:pt idx="0">
                          <c:v>0:07
</c:v>
                        </c:pt>
                      </c15:dlblFieldTableCache>
                    </c15:dlblFTEntry>
                  </c15:dlblFieldTable>
                  <c15:showDataLabelsRange val="0"/>
                </c:ext>
                <c:ext xmlns:c16="http://schemas.microsoft.com/office/drawing/2014/chart" uri="{C3380CC4-5D6E-409C-BE32-E72D297353CC}">
                  <c16:uniqueId val="{00000000-F3B0-40C8-8A32-DA920FFE7F95}"/>
                </c:ext>
              </c:extLst>
            </c:dLbl>
            <c:numFmt formatCode="General" sourceLinked="0"/>
            <c:spPr>
              <a:noFill/>
              <a:ln>
                <a:noFill/>
              </a:ln>
              <a:effectLst/>
            </c:spPr>
            <c:txPr>
              <a:bodyPr/>
              <a:lstStyle/>
              <a:p>
                <a:pPr>
                  <a:defRPr sz="900"/>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strRef>
              <c:f>Data!$A$24:$A$25</c:f>
              <c:strCache>
                <c:ptCount val="2"/>
                <c:pt idx="0">
                  <c:v>Cohort</c:v>
                </c:pt>
                <c:pt idx="1">
                  <c:v>MHN</c:v>
                </c:pt>
              </c:strCache>
            </c:strRef>
          </c:cat>
          <c:val>
            <c:numRef>
              <c:f>Data!$B$24:$B$25</c:f>
              <c:numCache>
                <c:formatCode>mm:ss</c:formatCode>
                <c:ptCount val="2"/>
                <c:pt idx="0">
                  <c:v>4.3346473295820363E-5</c:v>
                </c:pt>
                <c:pt idx="1">
                  <c:v>8.0678558441293319E-5</c:v>
                </c:pt>
              </c:numCache>
            </c:numRef>
          </c:val>
          <c:extLst>
            <c:ext xmlns:c16="http://schemas.microsoft.com/office/drawing/2014/chart" uri="{C3380CC4-5D6E-409C-BE32-E72D297353CC}">
              <c16:uniqueId val="{00000002-446F-4652-B972-8516B719D3F2}"/>
            </c:ext>
          </c:extLst>
        </c:ser>
        <c:ser>
          <c:idx val="1"/>
          <c:order val="1"/>
          <c:tx>
            <c:strRef>
              <c:f>Data!$C$23</c:f>
              <c:strCache>
                <c:ptCount val="1"/>
                <c:pt idx="0">
                  <c:v>PHC</c:v>
                </c:pt>
              </c:strCache>
            </c:strRef>
          </c:tx>
          <c:invertIfNegative val="0"/>
          <c:dLbls>
            <c:dLbl>
              <c:idx val="0"/>
              <c:layout>
                <c:manualLayout>
                  <c:x val="0"/>
                  <c:y val="3.9394462648155749E-2"/>
                </c:manualLayout>
              </c:layout>
              <c:tx>
                <c:strRef>
                  <c:f>Data!$R$24</c:f>
                  <c:strCache>
                    <c:ptCount val="1"/>
                    <c:pt idx="0">
                      <c:v>0:08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{59CCE4B3-579A-4B13-889E-2C1069989C7B}</c15:txfldGUID>
                      <c15:f>Data!$R$24</c15:f>
                      <c15:dlblFieldTableCache>
                        <c:ptCount val="1"/>
                        <c:pt idx="0">
                          <c:v>0:08
</c:v>
                        </c:pt>
                      </c15:dlblFieldTableCache>
                    </c15:dlblFTEntry>
                  </c15:dlblFieldTable>
                  <c15:showDataLabelsRange val="0"/>
                </c:ext>
                <c:ext xmlns:c16="http://schemas.microsoft.com/office/drawing/2014/chart" uri="{C3380CC4-5D6E-409C-BE32-E72D297353CC}">
                  <c16:uniqueId val="{00000003-446F-4652-B972-8516B719D3F2}"/>
                </c:ext>
              </c:extLst>
            </c:dLbl>
            <c:dLbl>
              <c:idx val="1"/>
              <c:layout>
                <c:manualLayout>
                  <c:x val="2.530536456657421E-3"/>
                  <c:y val="4.5960206422848419E-2"/>
                </c:manualLayout>
              </c:layout>
              <c:tx>
                <c:strRef>
                  <c:f>Data!$R$25</c:f>
                  <c:strCache>
                    <c:ptCount val="1"/>
                    <c:pt idx="0">
                      <c:v>0:01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{7910BE62-976F-4B71-85C8-7B4F398B7AA0}</c15:txfldGUID>
                      <c15:f>Data!$R$25</c15:f>
                      <c15:dlblFieldTableCache>
                        <c:ptCount val="1"/>
                        <c:pt idx="0">
                          <c:v>0:01
</c:v>
                        </c:pt>
                      </c15:dlblFieldTableCache>
                    </c15:dlblFTEntry>
                  </c15:dlblFieldTable>
                  <c15:showDataLabelsRange val="0"/>
                </c:ext>
                <c:ext xmlns:c16="http://schemas.microsoft.com/office/drawing/2014/chart" uri="{C3380CC4-5D6E-409C-BE32-E72D297353CC}">
                  <c16:uniqueId val="{00000004-446F-4652-B972-8516B719D3F2}"/>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Data!$A$24:$A$25</c:f>
              <c:strCache>
                <c:ptCount val="2"/>
                <c:pt idx="0">
                  <c:v>Cohort</c:v>
                </c:pt>
                <c:pt idx="1">
                  <c:v>MHN</c:v>
                </c:pt>
              </c:strCache>
            </c:strRef>
          </c:cat>
          <c:val>
            <c:numRef>
              <c:f>Data!$C$24:$C$25</c:f>
              <c:numCache>
                <c:formatCode>mm:ss</c:formatCode>
                <c:ptCount val="2"/>
                <c:pt idx="0">
                  <c:v>8.7914175020918398E-5</c:v>
                </c:pt>
                <c:pt idx="1">
                  <c:v>1.1806618308481948E-5</c:v>
                </c:pt>
              </c:numCache>
            </c:numRef>
          </c:val>
          <c:extLst>
            <c:ext xmlns:c16="http://schemas.microsoft.com/office/drawing/2014/chart" uri="{C3380CC4-5D6E-409C-BE32-E72D297353CC}">
              <c16:uniqueId val="{00000005-446F-4652-B972-8516B719D3F2}"/>
            </c:ext>
          </c:extLst>
        </c:ser>
        <c:ser>
          <c:idx val="2"/>
          <c:order val="2"/>
          <c:tx>
            <c:strRef>
              <c:f>Data!$D$23</c:f>
              <c:strCache>
                <c:ptCount val="1"/>
                <c:pt idx="0">
                  <c:v>PMC</c:v>
                </c:pt>
              </c:strCache>
            </c:strRef>
          </c:tx>
          <c:invertIfNegative val="0"/>
          <c:dLbls>
            <c:dLbl>
              <c:idx val="0"/>
              <c:layout>
                <c:manualLayout>
                  <c:x val="-2.5210082365507685E-3"/>
                  <c:y val="3.9394462648155749E-2"/>
                </c:manualLayout>
              </c:layout>
              <c:tx>
                <c:strRef>
                  <c:f>Data!$S$24</c:f>
                  <c:strCache>
                    <c:ptCount val="1"/>
                    <c:pt idx="0">
                      <c:v>0:24
</c:v>
                    </c:pt>
                  </c:strCache>
                </c:strRef>
              </c:tx>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dlblFieldTable>
                    <c15:dlblFTEntry>
                      <c15:txfldGUID>{4EA50CE8-30F1-406E-B2E1-C1CB72C1E280}</c15:txfldGUID>
                      <c15:f>Data!$S$24</c15:f>
                      <c15:dlblFieldTableCache>
                        <c:ptCount val="1"/>
                        <c:pt idx="0">
                          <c:v>0:24
</c:v>
                        </c:pt>
                      </c15:dlblFieldTableCache>
                    </c15:dlblFTEntry>
                  </c15:dlblFieldTable>
                  <c15:showDataLabelsRange val="0"/>
                </c:ext>
                <c:ext xmlns:c16="http://schemas.microsoft.com/office/drawing/2014/chart" uri="{C3380CC4-5D6E-409C-BE32-E72D297353CC}">
                  <c16:uniqueId val="{00000006-446F-4652-B972-8516B719D3F2}"/>
                </c:ext>
              </c:extLst>
            </c:dLbl>
            <c:dLbl>
              <c:idx val="1"/>
              <c:layout>
                <c:manualLayout>
                  <c:x val="0"/>
                  <c:y val="3.9418244082300324E-2"/>
                </c:manualLayout>
              </c:layout>
              <c:tx>
                <c:strRef>
                  <c:f>Data!$S$25</c:f>
                  <c:strCache>
                    <c:ptCount val="1"/>
                    <c:pt idx="0">
                      <c:v>0:24
</c:v>
                    </c:pt>
                  </c:strCache>
                </c:strRef>
              </c:tx>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dlblFieldTable>
                    <c15:dlblFTEntry>
                      <c15:txfldGUID>{CF96DE84-9EB3-4D6C-8A27-50384CFE8C7A}</c15:txfldGUID>
                      <c15:f>Data!$S$25</c15:f>
                      <c15:dlblFieldTableCache>
                        <c:ptCount val="1"/>
                        <c:pt idx="0">
                          <c:v>0:24
</c:v>
                        </c:pt>
                      </c15:dlblFieldTableCache>
                    </c15:dlblFTEntry>
                  </c15:dlblFieldTable>
                  <c15:showDataLabelsRange val="0"/>
                </c:ext>
                <c:ext xmlns:c16="http://schemas.microsoft.com/office/drawing/2014/chart" uri="{C3380CC4-5D6E-409C-BE32-E72D297353CC}">
                  <c16:uniqueId val="{00000007-446F-4652-B972-8516B719D3F2}"/>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Data!$A$24:$A$25</c:f>
              <c:strCache>
                <c:ptCount val="2"/>
                <c:pt idx="0">
                  <c:v>Cohort</c:v>
                </c:pt>
                <c:pt idx="1">
                  <c:v>MHN</c:v>
                </c:pt>
              </c:strCache>
            </c:strRef>
          </c:cat>
          <c:val>
            <c:numRef>
              <c:f>Data!$D$24:$D$25</c:f>
              <c:numCache>
                <c:formatCode>mm:ss</c:formatCode>
                <c:ptCount val="2"/>
                <c:pt idx="0">
                  <c:v>2.7786851496404809E-4</c:v>
                </c:pt>
                <c:pt idx="1">
                  <c:v>2.7548776053124544E-4</c:v>
                </c:pt>
              </c:numCache>
            </c:numRef>
          </c:val>
          <c:extLst>
            <c:ext xmlns:c16="http://schemas.microsoft.com/office/drawing/2014/chart" uri="{C3380CC4-5D6E-409C-BE32-E72D297353CC}">
              <c16:uniqueId val="{00000008-446F-4652-B972-8516B719D3F2}"/>
            </c:ext>
          </c:extLst>
        </c:ser>
        <c:ser>
          <c:idx val="3"/>
          <c:order val="3"/>
          <c:tx>
            <c:strRef>
              <c:f>Data!$E$23</c:f>
              <c:strCache>
                <c:ptCount val="1"/>
                <c:pt idx="0">
                  <c:v>RC</c:v>
                </c:pt>
              </c:strCache>
            </c:strRef>
          </c:tx>
          <c:invertIfNegative val="0"/>
          <c:dLbls>
            <c:dLbl>
              <c:idx val="0"/>
              <c:layout>
                <c:manualLayout>
                  <c:x val="5.0420164731015396E-3"/>
                  <c:y val="3.2828718873463163E-2"/>
                </c:manualLayout>
              </c:layout>
              <c:tx>
                <c:strRef>
                  <c:f>Data!$T$24</c:f>
                  <c:strCache>
                    <c:ptCount val="1"/>
                    <c:pt idx="0">
                      <c:v>0:12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{F6CAAB0F-BC07-43B2-AF56-1CEF603EF644}</c15:txfldGUID>
                      <c15:f>Data!$T$24</c15:f>
                      <c15:dlblFieldTableCache>
                        <c:ptCount val="1"/>
                        <c:pt idx="0">
                          <c:v>0:12
</c:v>
                        </c:pt>
                      </c15:dlblFieldTableCache>
                    </c15:dlblFTEntry>
                  </c15:dlblFieldTable>
                  <c15:showDataLabelsRange val="0"/>
                </c:ext>
                <c:ext xmlns:c16="http://schemas.microsoft.com/office/drawing/2014/chart" uri="{C3380CC4-5D6E-409C-BE32-E72D297353CC}">
                  <c16:uniqueId val="{00000009-446F-4652-B972-8516B719D3F2}"/>
                </c:ext>
              </c:extLst>
            </c:dLbl>
            <c:dLbl>
              <c:idx val="1"/>
              <c:layout>
                <c:manualLayout>
                  <c:x val="5.0420164731015396E-3"/>
                  <c:y val="4.5960206422848419E-2"/>
                </c:manualLayout>
              </c:layout>
              <c:tx>
                <c:strRef>
                  <c:f>Data!$T$25</c:f>
                  <c:strCache>
                    <c:ptCount val="1"/>
                    <c:pt idx="0">
                      <c:v>0:09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{E1AE6AA4-C1A3-42EA-A445-7C28C429F742}</c15:txfldGUID>
                      <c15:f>Data!$T$25</c15:f>
                      <c15:dlblFieldTableCache>
                        <c:ptCount val="1"/>
                        <c:pt idx="0">
                          <c:v>0:09
</c:v>
                        </c:pt>
                      </c15:dlblFieldTableCache>
                    </c15:dlblFTEntry>
                  </c15:dlblFieldTable>
                  <c15:showDataLabelsRange val="0"/>
                </c:ext>
                <c:ext xmlns:c16="http://schemas.microsoft.com/office/drawing/2014/chart" uri="{C3380CC4-5D6E-409C-BE32-E72D297353CC}">
                  <c16:uniqueId val="{0000000A-446F-4652-B972-8516B719D3F2}"/>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Data!$A$24:$A$25</c:f>
              <c:strCache>
                <c:ptCount val="2"/>
                <c:pt idx="0">
                  <c:v>Cohort</c:v>
                </c:pt>
                <c:pt idx="1">
                  <c:v>MHN</c:v>
                </c:pt>
              </c:strCache>
            </c:strRef>
          </c:cat>
          <c:val>
            <c:numRef>
              <c:f>Data!$E$24:$E$25</c:f>
              <c:numCache>
                <c:formatCode>mm:ss</c:formatCode>
                <c:ptCount val="2"/>
                <c:pt idx="0">
                  <c:v>1.3525448066304012E-4</c:v>
                </c:pt>
                <c:pt idx="1">
                  <c:v>1.0429179505825721E-4</c:v>
                </c:pt>
              </c:numCache>
            </c:numRef>
          </c:val>
          <c:extLst>
            <c:ext xmlns:c16="http://schemas.microsoft.com/office/drawing/2014/chart" uri="{C3380CC4-5D6E-409C-BE32-E72D297353CC}">
              <c16:uniqueId val="{0000000B-446F-4652-B972-8516B719D3F2}"/>
            </c:ext>
          </c:extLst>
        </c:ser>
        <c:ser>
          <c:idx val="4"/>
          <c:order val="4"/>
          <c:tx>
            <c:strRef>
              <c:f>Data!$F$23</c:f>
              <c:strCache>
                <c:ptCount val="1"/>
                <c:pt idx="0">
                  <c:v>VN</c:v>
                </c:pt>
              </c:strCache>
            </c:strRef>
          </c:tx>
          <c:invertIfNegative val="0"/>
          <c:dLbls>
            <c:dLbl>
              <c:idx val="0"/>
              <c:layout>
                <c:manualLayout>
                  <c:x val="0"/>
                  <c:y val="5.2525950197540999E-2"/>
                </c:manualLayout>
              </c:layout>
              <c:tx>
                <c:strRef>
                  <c:f>Data!$U$24</c:f>
                  <c:strCache>
                    <c:ptCount val="1"/>
                    <c:pt idx="0">
                      <c:v>1:27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{6FFD66B2-3168-4E81-B83B-B186629E876A}</c15:txfldGUID>
                      <c15:f>Data!$U$24</c15:f>
                      <c15:dlblFieldTableCache>
                        <c:ptCount val="1"/>
                        <c:pt idx="0">
                          <c:v>1:27
</c:v>
                        </c:pt>
                      </c15:dlblFieldTableCache>
                    </c15:dlblFTEntry>
                  </c15:dlblFieldTable>
                  <c15:showDataLabelsRange val="0"/>
                </c:ext>
                <c:ext xmlns:c16="http://schemas.microsoft.com/office/drawing/2014/chart" uri="{C3380CC4-5D6E-409C-BE32-E72D297353CC}">
                  <c16:uniqueId val="{0000000C-446F-4652-B972-8516B719D3F2}"/>
                </c:ext>
              </c:extLst>
            </c:dLbl>
            <c:dLbl>
              <c:idx val="1"/>
              <c:layout>
                <c:manualLayout>
                  <c:x val="-1.5126049419304616E-2"/>
                  <c:y val="5.9091693972233718E-2"/>
                </c:manualLayout>
              </c:layout>
              <c:tx>
                <c:strRef>
                  <c:f>Data!$U$25</c:f>
                  <c:strCache>
                    <c:ptCount val="1"/>
                    <c:pt idx="0">
                      <c:v>1:31
</c:v>
                    </c:pt>
                  </c:strCache>
                </c:strRef>
              </c:tx>
              <c:showLegendKey val="0"/>
              <c:showVal val="0"/>
              <c:showCatName val="0"/>
              <c:showSerName val="0"/>
              <c:showPercent val="0"/>
              <c:showBubbleSize val="0"/>
              <c:extLst>
                <c:ext xmlns:c15="http://schemas.microsoft.com/office/drawing/2012/chart" uri="{CE6537A1-D6FC-4f65-9D91-7224C49458BB}">
                  <c15:dlblFieldTable>
                    <c15:dlblFTEntry>
                      <c15:txfldGUID>{30025296-B15A-4B11-9FBB-62534194D7C9}</c15:txfldGUID>
                      <c15:f>Data!$U$25</c15:f>
                      <c15:dlblFieldTableCache>
                        <c:ptCount val="1"/>
                        <c:pt idx="0">
                          <c:v>1:31
</c:v>
                        </c:pt>
                      </c15:dlblFieldTableCache>
                    </c15:dlblFTEntry>
                  </c15:dlblFieldTable>
                  <c15:showDataLabelsRange val="0"/>
                </c:ext>
                <c:ext xmlns:c16="http://schemas.microsoft.com/office/drawing/2014/chart" uri="{C3380CC4-5D6E-409C-BE32-E72D297353CC}">
                  <c16:uniqueId val="{0000000D-446F-4652-B972-8516B719D3F2}"/>
                </c:ext>
              </c:extLst>
            </c:dLbl>
            <c:spPr>
              <a:noFill/>
              <a:ln>
                <a:noFill/>
              </a:ln>
              <a:effectLst/>
            </c:spPr>
            <c:txPr>
              <a:bodyPr/>
              <a:lstStyle/>
              <a:p>
                <a:pPr>
                  <a:defRPr sz="9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Data!$A$24:$A$25</c:f>
              <c:strCache>
                <c:ptCount val="2"/>
                <c:pt idx="0">
                  <c:v>Cohort</c:v>
                </c:pt>
                <c:pt idx="1">
                  <c:v>MHN</c:v>
                </c:pt>
              </c:strCache>
            </c:strRef>
          </c:cat>
          <c:val>
            <c:numRef>
              <c:f>Data!$F$24:$F$25</c:f>
              <c:numCache>
                <c:formatCode>mm:ss</c:formatCode>
                <c:ptCount val="2"/>
                <c:pt idx="0">
                  <c:v>1.0061528600998574E-3</c:v>
                </c:pt>
                <c:pt idx="1">
                  <c:v>1.0507890294548933E-3</c:v>
                </c:pt>
              </c:numCache>
            </c:numRef>
          </c:val>
          <c:extLst>
            <c:ext xmlns:c16="http://schemas.microsoft.com/office/drawing/2014/chart" uri="{C3380CC4-5D6E-409C-BE32-E72D297353CC}">
              <c16:uniqueId val="{0000000E-446F-4652-B972-8516B719D3F2}"/>
            </c:ext>
          </c:extLst>
        </c:ser>
        <c:dLbls>
          <c:showLegendKey val="0"/>
          <c:showVal val="0"/>
          <c:showCatName val="0"/>
          <c:showSerName val="0"/>
          <c:showPercent val="0"/>
          <c:showBubbleSize val="0"/>
        </c:dLbls>
        <c:gapWidth val="55"/>
        <c:overlap val="100"/>
        <c:axId val="171516928"/>
        <c:axId val="146924096"/>
      </c:barChart>
      <c:catAx>
        <c:axId val="171516928"/>
        <c:scaling>
          <c:orientation val="minMax"/>
        </c:scaling>
        <c:delete val="0"/>
        <c:axPos val="l"/>
        <c:numFmt formatCode="General" sourceLinked="0"/>
        <c:majorTickMark val="none"/>
        <c:minorTickMark val="none"/>
        <c:tickLblPos val="nextTo"/>
        <c:txPr>
          <a:bodyPr/>
          <a:lstStyle/>
          <a:p>
            <a:pPr>
              <a:defRPr sz="800"/>
            </a:pPr>
            <a:endParaRPr lang="en-US"/>
          </a:p>
        </c:txPr>
        <c:crossAx val="146924096"/>
        <c:crosses val="autoZero"/>
        <c:auto val="1"/>
        <c:lblAlgn val="ctr"/>
        <c:lblOffset val="100"/>
        <c:noMultiLvlLbl val="0"/>
      </c:catAx>
      <c:valAx>
        <c:axId val="146924096"/>
        <c:scaling>
          <c:orientation val="minMax"/>
        </c:scaling>
        <c:delete val="0"/>
        <c:axPos val="b"/>
        <c:numFmt formatCode="mm:ss" sourceLinked="1"/>
        <c:majorTickMark val="none"/>
        <c:minorTickMark val="none"/>
        <c:tickLblPos val="nextTo"/>
        <c:txPr>
          <a:bodyPr/>
          <a:lstStyle/>
          <a:p>
            <a:pPr>
              <a:defRPr sz="900"/>
            </a:pPr>
            <a:endParaRPr lang="en-US"/>
          </a:p>
        </c:txPr>
        <c:crossAx val="171516928"/>
        <c:crosses val="autoZero"/>
        <c:crossBetween val="between"/>
      </c:valAx>
    </c:plotArea>
    <c:legend>
      <c:legendPos val="b"/>
      <c:layout>
        <c:manualLayout>
          <c:xMode val="edge"/>
          <c:yMode val="edge"/>
          <c:x val="0.18947536052375499"/>
          <c:y val="0.8822068610531405"/>
          <c:w val="0.62104927895249218"/>
          <c:h val="0.1112033565342101"/>
        </c:manualLayout>
      </c:layout>
      <c:overlay val="0"/>
      <c:txPr>
        <a:bodyPr/>
        <a:lstStyle/>
        <a:p>
          <a:pPr>
            <a:defRPr sz="900"/>
          </a:pPr>
          <a:endParaRPr lang="en-US"/>
        </a:p>
      </c:txPr>
    </c:legend>
    <c:plotVisOnly val="1"/>
    <c:dispBlanksAs val="gap"/>
    <c:showDLblsOverMax val="0"/>
  </c:chart>
  <c:printSettings>
    <c:headerFooter/>
    <c:pageMargins b="0.75000000000000178" l="0.70000000000000095" r="0.70000000000000095" t="0.75000000000000178" header="0.30000000000000032" footer="0.30000000000000032"/>
    <c:pageSetup/>
  </c:printSettings>
  <c:userShapes r:id="rId1"/>
</c:chartSpace>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8F0F12C-1AF6-4D45-B112-CA54F4018EC6}" type="doc">
      <dgm:prSet loTypeId="urn:microsoft.com/office/officeart/2005/8/layout/chevron2" loCatId="process" qsTypeId="urn:microsoft.com/office/officeart/2005/8/quickstyle/simple3" qsCatId="simple" csTypeId="urn:microsoft.com/office/officeart/2005/8/colors/accent0_3" csCatId="mainScheme" phldr="1"/>
      <dgm:spPr/>
      <dgm:t>
        <a:bodyPr/>
        <a:lstStyle/>
        <a:p>
          <a:endParaRPr lang="en-AU"/>
        </a:p>
      </dgm:t>
    </dgm:pt>
    <dgm:pt modelId="{5E247A0C-05D0-4BE3-A02B-EC71196F3135}">
      <dgm:prSet phldrT="[Text]" custT="1"/>
      <dgm:spPr/>
      <dgm:t>
        <a:bodyPr anchor="b"/>
        <a:lstStyle/>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r>
            <a:rPr lang="en-AU" sz="750" b="1" i="1">
              <a:solidFill>
                <a:srgbClr val="002060"/>
              </a:solidFill>
            </a:rPr>
            <a:t>Approach/ Wait</a:t>
          </a:r>
        </a:p>
      </dgm:t>
    </dgm:pt>
    <dgm:pt modelId="{CAB164E6-1496-40D7-8EA7-5144B9F70B54}" type="parTrans" cxnId="{BB1CFF4A-2B1F-4207-8731-DBC1292111FE}">
      <dgm:prSet/>
      <dgm:spPr/>
      <dgm:t>
        <a:bodyPr/>
        <a:lstStyle/>
        <a:p>
          <a:endParaRPr lang="en-AU">
            <a:solidFill>
              <a:srgbClr val="002060"/>
            </a:solidFill>
          </a:endParaRPr>
        </a:p>
      </dgm:t>
    </dgm:pt>
    <dgm:pt modelId="{B27F52BF-A02B-495E-BF90-CEE475791584}" type="sibTrans" cxnId="{BB1CFF4A-2B1F-4207-8731-DBC1292111FE}">
      <dgm:prSet/>
      <dgm:spPr/>
      <dgm:t>
        <a:bodyPr/>
        <a:lstStyle/>
        <a:p>
          <a:endParaRPr lang="en-AU">
            <a:solidFill>
              <a:srgbClr val="002060"/>
            </a:solidFill>
          </a:endParaRPr>
        </a:p>
      </dgm:t>
    </dgm:pt>
    <dgm:pt modelId="{DA1C8A74-4D25-4851-8E68-81D70E5AA0B7}">
      <dgm:prSet phldrT="[Text]"/>
      <dgm:spPr>
        <a:solidFill>
          <a:schemeClr val="bg1">
            <a:alpha val="90000"/>
          </a:schemeClr>
        </a:solidFill>
      </dgm:spPr>
      <dgm:t>
        <a:bodyPr/>
        <a:lstStyle/>
        <a:p>
          <a:r>
            <a:rPr lang="en-AU">
              <a:solidFill>
                <a:srgbClr val="002060"/>
              </a:solidFill>
            </a:rPr>
            <a:t>approaches dispensary (start clock)</a:t>
          </a:r>
        </a:p>
      </dgm:t>
    </dgm:pt>
    <dgm:pt modelId="{681A2C66-6A60-4F7C-A0CA-53D9E2B456D8}" type="parTrans" cxnId="{2AE2668F-B267-4C1C-8A61-32C7931EAEBA}">
      <dgm:prSet/>
      <dgm:spPr/>
      <dgm:t>
        <a:bodyPr/>
        <a:lstStyle/>
        <a:p>
          <a:endParaRPr lang="en-AU">
            <a:solidFill>
              <a:srgbClr val="002060"/>
            </a:solidFill>
          </a:endParaRPr>
        </a:p>
      </dgm:t>
    </dgm:pt>
    <dgm:pt modelId="{1300CB21-273C-4CD9-8F0E-5A9815E4589E}" type="sibTrans" cxnId="{2AE2668F-B267-4C1C-8A61-32C7931EAEBA}">
      <dgm:prSet/>
      <dgm:spPr/>
      <dgm:t>
        <a:bodyPr/>
        <a:lstStyle/>
        <a:p>
          <a:endParaRPr lang="en-AU">
            <a:solidFill>
              <a:srgbClr val="002060"/>
            </a:solidFill>
          </a:endParaRPr>
        </a:p>
      </dgm:t>
    </dgm:pt>
    <dgm:pt modelId="{4D63F9DE-85C6-464C-9CAB-E23A04AD6613}">
      <dgm:prSet phldrT="[Text]"/>
      <dgm:spPr>
        <a:solidFill>
          <a:schemeClr val="bg1">
            <a:alpha val="90000"/>
          </a:schemeClr>
        </a:solidFill>
      </dgm:spPr>
      <dgm:t>
        <a:bodyPr/>
        <a:lstStyle/>
        <a:p>
          <a:r>
            <a:rPr lang="en-AU">
              <a:solidFill>
                <a:srgbClr val="002060"/>
              </a:solidFill>
            </a:rPr>
            <a:t>+/- wait</a:t>
          </a:r>
        </a:p>
      </dgm:t>
    </dgm:pt>
    <dgm:pt modelId="{7A41D124-9CF5-439D-BBF5-298924BA9F74}" type="parTrans" cxnId="{C93A23B3-E3F9-4706-9532-35F964C52BA4}">
      <dgm:prSet/>
      <dgm:spPr/>
      <dgm:t>
        <a:bodyPr/>
        <a:lstStyle/>
        <a:p>
          <a:endParaRPr lang="en-AU">
            <a:solidFill>
              <a:srgbClr val="002060"/>
            </a:solidFill>
          </a:endParaRPr>
        </a:p>
      </dgm:t>
    </dgm:pt>
    <dgm:pt modelId="{75DEB7F9-1F0C-4AA9-AEB0-85E969FBFA0C}" type="sibTrans" cxnId="{C93A23B3-E3F9-4706-9532-35F964C52BA4}">
      <dgm:prSet/>
      <dgm:spPr/>
      <dgm:t>
        <a:bodyPr/>
        <a:lstStyle/>
        <a:p>
          <a:endParaRPr lang="en-AU">
            <a:solidFill>
              <a:srgbClr val="002060"/>
            </a:solidFill>
          </a:endParaRPr>
        </a:p>
      </dgm:t>
    </dgm:pt>
    <dgm:pt modelId="{67060084-FC3D-4990-B579-0C4053210D26}">
      <dgm:prSet phldrT="[Text]" custT="1"/>
      <dgm:spPr/>
      <dgm:t>
        <a:bodyPr anchor="b"/>
        <a:lstStyle/>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endParaRPr lang="en-AU" sz="800" b="1" i="1">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endParaRPr lang="en-AU" sz="700" b="1" i="1" u="none">
            <a:solidFill>
              <a:srgbClr val="002060"/>
            </a:solidFill>
          </a:endParaRPr>
        </a:p>
        <a:p>
          <a:pPr algn="ctr"/>
          <a:r>
            <a:rPr lang="en-AU" sz="800" b="1" i="1" u="none">
              <a:solidFill>
                <a:srgbClr val="002060"/>
              </a:solidFill>
            </a:rPr>
            <a:t>Clinical Key-in &amp; review</a:t>
          </a:r>
          <a:endParaRPr lang="en-AU" sz="800" b="1" i="1">
            <a:solidFill>
              <a:srgbClr val="002060"/>
            </a:solidFill>
          </a:endParaRPr>
        </a:p>
      </dgm:t>
    </dgm:pt>
    <dgm:pt modelId="{9AC49BC8-6169-4D32-9357-C25EA7133300}" type="parTrans" cxnId="{E420F20C-BDBB-44BF-9F93-7168BD575C61}">
      <dgm:prSet/>
      <dgm:spPr/>
      <dgm:t>
        <a:bodyPr/>
        <a:lstStyle/>
        <a:p>
          <a:endParaRPr lang="en-AU">
            <a:solidFill>
              <a:srgbClr val="002060"/>
            </a:solidFill>
          </a:endParaRPr>
        </a:p>
      </dgm:t>
    </dgm:pt>
    <dgm:pt modelId="{91113A06-D116-42EB-8655-85796AD66AE3}" type="sibTrans" cxnId="{E420F20C-BDBB-44BF-9F93-7168BD575C61}">
      <dgm:prSet/>
      <dgm:spPr/>
      <dgm:t>
        <a:bodyPr/>
        <a:lstStyle/>
        <a:p>
          <a:endParaRPr lang="en-AU">
            <a:solidFill>
              <a:srgbClr val="002060"/>
            </a:solidFill>
          </a:endParaRPr>
        </a:p>
      </dgm:t>
    </dgm:pt>
    <dgm:pt modelId="{B121BD84-AB1F-4F2F-B08B-BDE7E6A0C284}">
      <dgm:prSet phldrT="[Text]"/>
      <dgm:spPr>
        <a:solidFill>
          <a:schemeClr val="bg1">
            <a:alpha val="90000"/>
          </a:schemeClr>
        </a:solidFill>
      </dgm:spPr>
      <dgm:t>
        <a:bodyPr/>
        <a:lstStyle/>
        <a:p>
          <a:r>
            <a:rPr lang="en-AU" b="0" i="0" u="none">
              <a:solidFill>
                <a:srgbClr val="002060"/>
              </a:solidFill>
            </a:rPr>
            <a:t>facilitate clinical disclosure</a:t>
          </a:r>
          <a:endParaRPr lang="en-AU">
            <a:solidFill>
              <a:srgbClr val="002060"/>
            </a:solidFill>
          </a:endParaRPr>
        </a:p>
      </dgm:t>
    </dgm:pt>
    <dgm:pt modelId="{258F70E4-F6B7-4B23-96AB-6ADD15214AA0}" type="parTrans" cxnId="{5382178C-900B-4E54-816E-CCA256E71A22}">
      <dgm:prSet/>
      <dgm:spPr/>
      <dgm:t>
        <a:bodyPr/>
        <a:lstStyle/>
        <a:p>
          <a:endParaRPr lang="en-AU">
            <a:solidFill>
              <a:srgbClr val="002060"/>
            </a:solidFill>
          </a:endParaRPr>
        </a:p>
      </dgm:t>
    </dgm:pt>
    <dgm:pt modelId="{EF0BD869-E8DB-4585-B284-5C68CD4905C8}" type="sibTrans" cxnId="{5382178C-900B-4E54-816E-CCA256E71A22}">
      <dgm:prSet/>
      <dgm:spPr/>
      <dgm:t>
        <a:bodyPr/>
        <a:lstStyle/>
        <a:p>
          <a:endParaRPr lang="en-AU">
            <a:solidFill>
              <a:srgbClr val="002060"/>
            </a:solidFill>
          </a:endParaRPr>
        </a:p>
      </dgm:t>
    </dgm:pt>
    <dgm:pt modelId="{5AF508E5-DB9F-478A-B2E7-F9FD7E0ABE84}">
      <dgm:prSet phldrT="[Text]"/>
      <dgm:spPr>
        <a:solidFill>
          <a:schemeClr val="bg1">
            <a:alpha val="90000"/>
          </a:schemeClr>
        </a:solidFill>
      </dgm:spPr>
      <dgm:t>
        <a:bodyPr/>
        <a:lstStyle/>
        <a:p>
          <a:r>
            <a:rPr lang="en-AU" b="0" i="0" u="none">
              <a:solidFill>
                <a:srgbClr val="002060"/>
              </a:solidFill>
            </a:rPr>
            <a:t>participate in health advisory discussion</a:t>
          </a:r>
          <a:endParaRPr lang="en-AU">
            <a:solidFill>
              <a:srgbClr val="002060"/>
            </a:solidFill>
          </a:endParaRPr>
        </a:p>
      </dgm:t>
    </dgm:pt>
    <dgm:pt modelId="{58369FB0-BBEC-4D05-BB47-41D3D0CD0017}" type="parTrans" cxnId="{7FC92BAE-7125-4605-A9E0-D3D81F13B364}">
      <dgm:prSet/>
      <dgm:spPr/>
      <dgm:t>
        <a:bodyPr/>
        <a:lstStyle/>
        <a:p>
          <a:endParaRPr lang="en-AU">
            <a:solidFill>
              <a:srgbClr val="002060"/>
            </a:solidFill>
          </a:endParaRPr>
        </a:p>
      </dgm:t>
    </dgm:pt>
    <dgm:pt modelId="{67F26B0F-B23D-4A9A-B25D-83EB85DD7F48}" type="sibTrans" cxnId="{7FC92BAE-7125-4605-A9E0-D3D81F13B364}">
      <dgm:prSet/>
      <dgm:spPr/>
      <dgm:t>
        <a:bodyPr/>
        <a:lstStyle/>
        <a:p>
          <a:endParaRPr lang="en-AU">
            <a:solidFill>
              <a:srgbClr val="002060"/>
            </a:solidFill>
          </a:endParaRPr>
        </a:p>
      </dgm:t>
    </dgm:pt>
    <dgm:pt modelId="{7D3CF29E-28F5-424E-A428-B341B491CC2F}">
      <dgm:prSet phldrT="[Text]"/>
      <dgm:spPr>
        <a:solidFill>
          <a:schemeClr val="bg1">
            <a:alpha val="90000"/>
          </a:schemeClr>
        </a:solidFill>
      </dgm:spPr>
      <dgm:t>
        <a:bodyPr/>
        <a:lstStyle/>
        <a:p>
          <a:r>
            <a:rPr lang="en-AU" b="0" i="0" u="none">
              <a:solidFill>
                <a:srgbClr val="002060"/>
              </a:solidFill>
            </a:rPr>
            <a:t>may stay (engaged or disengaged); may leave dispensary</a:t>
          </a:r>
          <a:endParaRPr lang="en-AU">
            <a:solidFill>
              <a:srgbClr val="002060"/>
            </a:solidFill>
          </a:endParaRPr>
        </a:p>
      </dgm:t>
    </dgm:pt>
    <dgm:pt modelId="{A322737D-5BB1-4DB5-9BBD-99B166C2C50A}" type="parTrans" cxnId="{66CF697A-B6EB-4035-A15A-D1C8F29EEA3C}">
      <dgm:prSet/>
      <dgm:spPr/>
      <dgm:t>
        <a:bodyPr/>
        <a:lstStyle/>
        <a:p>
          <a:endParaRPr lang="en-AU">
            <a:solidFill>
              <a:srgbClr val="002060"/>
            </a:solidFill>
          </a:endParaRPr>
        </a:p>
      </dgm:t>
    </dgm:pt>
    <dgm:pt modelId="{EFB02116-96BA-4EA4-92C9-993F5FAB7C42}" type="sibTrans" cxnId="{66CF697A-B6EB-4035-A15A-D1C8F29EEA3C}">
      <dgm:prSet/>
      <dgm:spPr/>
      <dgm:t>
        <a:bodyPr/>
        <a:lstStyle/>
        <a:p>
          <a:endParaRPr lang="en-AU">
            <a:solidFill>
              <a:srgbClr val="002060"/>
            </a:solidFill>
          </a:endParaRPr>
        </a:p>
      </dgm:t>
    </dgm:pt>
    <dgm:pt modelId="{11DE6AED-150A-4C8D-ABCF-3E80654F1F87}">
      <dgm:prSet phldrT="[Text]" custT="1"/>
      <dgm:spPr/>
      <dgm:t>
        <a:bodyPr anchor="b"/>
        <a:lstStyle/>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r>
            <a:rPr lang="en-AU" sz="750" b="1" i="1" u="none">
              <a:solidFill>
                <a:srgbClr val="002060"/>
              </a:solidFill>
            </a:rPr>
            <a:t>Assemble medicine &amp; paperwork</a:t>
          </a:r>
          <a:endParaRPr lang="en-AU" sz="750">
            <a:solidFill>
              <a:srgbClr val="002060"/>
            </a:solidFill>
          </a:endParaRPr>
        </a:p>
      </dgm:t>
    </dgm:pt>
    <dgm:pt modelId="{65CDAE8D-EAD2-4BF2-B854-A6A8AE61CDDA}" type="parTrans" cxnId="{84A84880-8223-4CC8-BC1F-01145201A901}">
      <dgm:prSet/>
      <dgm:spPr/>
      <dgm:t>
        <a:bodyPr/>
        <a:lstStyle/>
        <a:p>
          <a:endParaRPr lang="en-AU">
            <a:solidFill>
              <a:srgbClr val="002060"/>
            </a:solidFill>
          </a:endParaRPr>
        </a:p>
      </dgm:t>
    </dgm:pt>
    <dgm:pt modelId="{384CD849-BA9B-4CE2-92AC-40961CB75F94}" type="sibTrans" cxnId="{84A84880-8223-4CC8-BC1F-01145201A901}">
      <dgm:prSet/>
      <dgm:spPr/>
      <dgm:t>
        <a:bodyPr/>
        <a:lstStyle/>
        <a:p>
          <a:endParaRPr lang="en-AU">
            <a:solidFill>
              <a:srgbClr val="002060"/>
            </a:solidFill>
          </a:endParaRPr>
        </a:p>
      </dgm:t>
    </dgm:pt>
    <dgm:pt modelId="{ED4C1168-2E6A-4614-A113-2BE169A2F900}">
      <dgm:prSet phldrT="[Text]"/>
      <dgm:spPr>
        <a:solidFill>
          <a:schemeClr val="bg1">
            <a:alpha val="90000"/>
          </a:schemeClr>
        </a:solidFill>
      </dgm:spPr>
      <dgm:t>
        <a:bodyPr/>
        <a:lstStyle/>
        <a:p>
          <a:r>
            <a:rPr lang="en-AU" b="0" i="0" u="none">
              <a:solidFill>
                <a:srgbClr val="002060"/>
              </a:solidFill>
            </a:rPr>
            <a:t>stay (engaged or disengaged); elsewhere in store; gone</a:t>
          </a:r>
          <a:endParaRPr lang="en-AU">
            <a:solidFill>
              <a:srgbClr val="002060"/>
            </a:solidFill>
          </a:endParaRPr>
        </a:p>
      </dgm:t>
    </dgm:pt>
    <dgm:pt modelId="{A801D4FF-46B4-4EC1-965A-A8862B66714E}" type="parTrans" cxnId="{5F9A9C60-3177-48DC-B0D1-30A10A65614F}">
      <dgm:prSet/>
      <dgm:spPr/>
      <dgm:t>
        <a:bodyPr/>
        <a:lstStyle/>
        <a:p>
          <a:endParaRPr lang="en-AU">
            <a:solidFill>
              <a:srgbClr val="002060"/>
            </a:solidFill>
          </a:endParaRPr>
        </a:p>
      </dgm:t>
    </dgm:pt>
    <dgm:pt modelId="{6E2D682F-7E21-40F9-A0DE-62BDF9A56E51}" type="sibTrans" cxnId="{5F9A9C60-3177-48DC-B0D1-30A10A65614F}">
      <dgm:prSet/>
      <dgm:spPr/>
      <dgm:t>
        <a:bodyPr/>
        <a:lstStyle/>
        <a:p>
          <a:endParaRPr lang="en-AU">
            <a:solidFill>
              <a:srgbClr val="002060"/>
            </a:solidFill>
          </a:endParaRPr>
        </a:p>
      </dgm:t>
    </dgm:pt>
    <dgm:pt modelId="{50355194-C693-4C5D-B3A4-C8E94EB15E90}">
      <dgm:prSet phldrT="[Text]" custT="1"/>
      <dgm:spPr/>
      <dgm:t>
        <a:bodyPr anchor="b"/>
        <a:lstStyle/>
        <a:p>
          <a:r>
            <a:rPr lang="en-AU" sz="750" b="1" i="1" u="none">
              <a:solidFill>
                <a:srgbClr val="002060"/>
              </a:solidFill>
            </a:rPr>
            <a:t>Check script</a:t>
          </a:r>
          <a:endParaRPr lang="en-AU" sz="750">
            <a:solidFill>
              <a:srgbClr val="002060"/>
            </a:solidFill>
          </a:endParaRPr>
        </a:p>
      </dgm:t>
    </dgm:pt>
    <dgm:pt modelId="{E754F8E5-B6FD-4472-A932-100073317A32}" type="parTrans" cxnId="{D1401342-24BF-48CE-95C8-DFC62AB707B3}">
      <dgm:prSet/>
      <dgm:spPr/>
      <dgm:t>
        <a:bodyPr/>
        <a:lstStyle/>
        <a:p>
          <a:endParaRPr lang="en-AU">
            <a:solidFill>
              <a:srgbClr val="002060"/>
            </a:solidFill>
          </a:endParaRPr>
        </a:p>
      </dgm:t>
    </dgm:pt>
    <dgm:pt modelId="{5D93EC36-1796-4860-B430-99CD616D9F67}" type="sibTrans" cxnId="{D1401342-24BF-48CE-95C8-DFC62AB707B3}">
      <dgm:prSet/>
      <dgm:spPr/>
      <dgm:t>
        <a:bodyPr/>
        <a:lstStyle/>
        <a:p>
          <a:endParaRPr lang="en-AU">
            <a:solidFill>
              <a:srgbClr val="002060"/>
            </a:solidFill>
          </a:endParaRPr>
        </a:p>
      </dgm:t>
    </dgm:pt>
    <dgm:pt modelId="{2AB362DE-9280-49C4-929A-B2533E441636}">
      <dgm:prSet/>
      <dgm:spPr>
        <a:solidFill>
          <a:schemeClr val="bg1">
            <a:alpha val="90000"/>
          </a:schemeClr>
        </a:solidFill>
      </dgm:spPr>
      <dgm:t>
        <a:bodyPr/>
        <a:lstStyle/>
        <a:p>
          <a:r>
            <a:rPr lang="en-AU" b="0" i="0" u="none">
              <a:solidFill>
                <a:srgbClr val="002060"/>
              </a:solidFill>
            </a:rPr>
            <a:t>stay (engaged or disengaged); elsewhere in store; gone</a:t>
          </a:r>
          <a:endParaRPr lang="en-AU">
            <a:solidFill>
              <a:srgbClr val="002060"/>
            </a:solidFill>
          </a:endParaRPr>
        </a:p>
      </dgm:t>
    </dgm:pt>
    <dgm:pt modelId="{E043F12C-87A3-4A2A-8626-0DF891821B32}" type="parTrans" cxnId="{92A2B0B1-4142-448D-A2ED-144BF959E761}">
      <dgm:prSet/>
      <dgm:spPr/>
      <dgm:t>
        <a:bodyPr/>
        <a:lstStyle/>
        <a:p>
          <a:endParaRPr lang="en-AU">
            <a:solidFill>
              <a:srgbClr val="002060"/>
            </a:solidFill>
          </a:endParaRPr>
        </a:p>
      </dgm:t>
    </dgm:pt>
    <dgm:pt modelId="{03EF11E2-9969-425E-B3E6-C3A94C750E12}" type="sibTrans" cxnId="{92A2B0B1-4142-448D-A2ED-144BF959E761}">
      <dgm:prSet/>
      <dgm:spPr/>
      <dgm:t>
        <a:bodyPr/>
        <a:lstStyle/>
        <a:p>
          <a:endParaRPr lang="en-AU">
            <a:solidFill>
              <a:srgbClr val="002060"/>
            </a:solidFill>
          </a:endParaRPr>
        </a:p>
      </dgm:t>
    </dgm:pt>
    <dgm:pt modelId="{8F945ECE-C97C-4EA3-925E-C9781BE014E9}">
      <dgm:prSet custT="1"/>
      <dgm:spPr/>
      <dgm:t>
        <a:bodyPr anchor="b"/>
        <a:lstStyle/>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endParaRPr lang="en-AU" sz="750" b="1" i="1" u="none">
            <a:solidFill>
              <a:srgbClr val="002060"/>
            </a:solidFill>
          </a:endParaRPr>
        </a:p>
        <a:p>
          <a:r>
            <a:rPr lang="en-AU" sz="750" b="1" i="1" u="none">
              <a:solidFill>
                <a:srgbClr val="002060"/>
              </a:solidFill>
            </a:rPr>
            <a:t>Customer </a:t>
          </a:r>
        </a:p>
        <a:p>
          <a:r>
            <a:rPr lang="en-AU" sz="750" b="1" i="1" u="none">
              <a:solidFill>
                <a:srgbClr val="002060"/>
              </a:solidFill>
            </a:rPr>
            <a:t>script consult</a:t>
          </a:r>
          <a:endParaRPr lang="en-AU" sz="750">
            <a:solidFill>
              <a:srgbClr val="002060"/>
            </a:solidFill>
          </a:endParaRPr>
        </a:p>
      </dgm:t>
    </dgm:pt>
    <dgm:pt modelId="{155A0F73-6E72-4B50-AF5E-A9E590D9CBFE}" type="parTrans" cxnId="{FC1A5C97-D846-4454-86D9-B54930F68E97}">
      <dgm:prSet/>
      <dgm:spPr/>
      <dgm:t>
        <a:bodyPr/>
        <a:lstStyle/>
        <a:p>
          <a:endParaRPr lang="en-AU">
            <a:solidFill>
              <a:srgbClr val="002060"/>
            </a:solidFill>
          </a:endParaRPr>
        </a:p>
      </dgm:t>
    </dgm:pt>
    <dgm:pt modelId="{0C3AB0D9-4FDE-4D7D-8799-C83007C8F5B9}" type="sibTrans" cxnId="{FC1A5C97-D846-4454-86D9-B54930F68E97}">
      <dgm:prSet/>
      <dgm:spPr/>
      <dgm:t>
        <a:bodyPr/>
        <a:lstStyle/>
        <a:p>
          <a:endParaRPr lang="en-AU">
            <a:solidFill>
              <a:srgbClr val="002060"/>
            </a:solidFill>
          </a:endParaRPr>
        </a:p>
      </dgm:t>
    </dgm:pt>
    <dgm:pt modelId="{B94CDE2D-F02A-442C-9A25-67372D263F9C}">
      <dgm:prSet/>
      <dgm:spPr>
        <a:solidFill>
          <a:schemeClr val="bg1">
            <a:alpha val="90000"/>
          </a:schemeClr>
        </a:solidFill>
      </dgm:spPr>
      <dgm:t>
        <a:bodyPr/>
        <a:lstStyle/>
        <a:p>
          <a:r>
            <a:rPr lang="en-AU" b="0" i="0" u="none">
              <a:solidFill>
                <a:srgbClr val="002060"/>
              </a:solidFill>
            </a:rPr>
            <a:t>facilitate product information exchange </a:t>
          </a:r>
          <a:endParaRPr lang="en-AU">
            <a:solidFill>
              <a:srgbClr val="002060"/>
            </a:solidFill>
          </a:endParaRPr>
        </a:p>
      </dgm:t>
    </dgm:pt>
    <dgm:pt modelId="{528EAD75-7A0E-428E-9FA6-ED7BF7F47650}" type="parTrans" cxnId="{E06F9B09-D351-4228-801E-D980FED731A0}">
      <dgm:prSet/>
      <dgm:spPr/>
      <dgm:t>
        <a:bodyPr/>
        <a:lstStyle/>
        <a:p>
          <a:endParaRPr lang="en-AU">
            <a:solidFill>
              <a:srgbClr val="002060"/>
            </a:solidFill>
          </a:endParaRPr>
        </a:p>
      </dgm:t>
    </dgm:pt>
    <dgm:pt modelId="{41FF7B59-4FE7-4008-A968-DF01AE5EA340}" type="sibTrans" cxnId="{E06F9B09-D351-4228-801E-D980FED731A0}">
      <dgm:prSet/>
      <dgm:spPr/>
      <dgm:t>
        <a:bodyPr/>
        <a:lstStyle/>
        <a:p>
          <a:endParaRPr lang="en-AU">
            <a:solidFill>
              <a:srgbClr val="002060"/>
            </a:solidFill>
          </a:endParaRPr>
        </a:p>
      </dgm:t>
    </dgm:pt>
    <dgm:pt modelId="{8A921C66-F618-4745-969D-0BE04F29EA6E}">
      <dgm:prSet/>
      <dgm:spPr>
        <a:solidFill>
          <a:schemeClr val="bg1">
            <a:alpha val="90000"/>
          </a:schemeClr>
        </a:solidFill>
      </dgm:spPr>
      <dgm:t>
        <a:bodyPr/>
        <a:lstStyle/>
        <a:p>
          <a:r>
            <a:rPr lang="en-AU" b="0" i="0" u="none">
              <a:solidFill>
                <a:srgbClr val="002060"/>
              </a:solidFill>
            </a:rPr>
            <a:t>participate in health advisory discussion</a:t>
          </a:r>
          <a:endParaRPr lang="en-AU">
            <a:solidFill>
              <a:srgbClr val="002060"/>
            </a:solidFill>
          </a:endParaRPr>
        </a:p>
      </dgm:t>
    </dgm:pt>
    <dgm:pt modelId="{7EEA168D-6A98-492F-B092-9FF887ECBCFD}" type="parTrans" cxnId="{02EA93AF-FCE1-4274-9BC9-63078DA8E873}">
      <dgm:prSet/>
      <dgm:spPr/>
      <dgm:t>
        <a:bodyPr/>
        <a:lstStyle/>
        <a:p>
          <a:endParaRPr lang="en-AU">
            <a:solidFill>
              <a:srgbClr val="002060"/>
            </a:solidFill>
          </a:endParaRPr>
        </a:p>
      </dgm:t>
    </dgm:pt>
    <dgm:pt modelId="{7CC1CC27-5A73-45CF-A70D-2E312BB1CB40}" type="sibTrans" cxnId="{02EA93AF-FCE1-4274-9BC9-63078DA8E873}">
      <dgm:prSet/>
      <dgm:spPr/>
      <dgm:t>
        <a:bodyPr/>
        <a:lstStyle/>
        <a:p>
          <a:endParaRPr lang="en-AU">
            <a:solidFill>
              <a:srgbClr val="002060"/>
            </a:solidFill>
          </a:endParaRPr>
        </a:p>
      </dgm:t>
    </dgm:pt>
    <dgm:pt modelId="{BF371D1E-D7B8-4CBF-B0C1-AB6A2500C618}">
      <dgm:prSet custT="1"/>
      <dgm:spPr/>
      <dgm:t>
        <a:bodyPr anchor="b"/>
        <a:lstStyle/>
        <a:p>
          <a:r>
            <a:rPr lang="en-AU" sz="750" b="1" i="1" u="none">
              <a:solidFill>
                <a:srgbClr val="002060"/>
              </a:solidFill>
            </a:rPr>
            <a:t>Payment</a:t>
          </a:r>
          <a:endParaRPr lang="en-AU" sz="750">
            <a:solidFill>
              <a:srgbClr val="002060"/>
            </a:solidFill>
          </a:endParaRPr>
        </a:p>
      </dgm:t>
    </dgm:pt>
    <dgm:pt modelId="{D1763E0C-0725-4A0D-936D-F8EB1A98FA7B}" type="parTrans" cxnId="{39D87113-2724-48B6-92FD-5929D966D057}">
      <dgm:prSet/>
      <dgm:spPr/>
      <dgm:t>
        <a:bodyPr/>
        <a:lstStyle/>
        <a:p>
          <a:endParaRPr lang="en-AU">
            <a:solidFill>
              <a:srgbClr val="002060"/>
            </a:solidFill>
          </a:endParaRPr>
        </a:p>
      </dgm:t>
    </dgm:pt>
    <dgm:pt modelId="{CCD1FE61-E585-4E68-9369-54D2FB1E5553}" type="sibTrans" cxnId="{39D87113-2724-48B6-92FD-5929D966D057}">
      <dgm:prSet/>
      <dgm:spPr/>
      <dgm:t>
        <a:bodyPr/>
        <a:lstStyle/>
        <a:p>
          <a:endParaRPr lang="en-AU">
            <a:solidFill>
              <a:srgbClr val="002060"/>
            </a:solidFill>
          </a:endParaRPr>
        </a:p>
      </dgm:t>
    </dgm:pt>
    <dgm:pt modelId="{C02C15DF-4889-4CA5-8D76-7F4BA809E8FB}">
      <dgm:prSet/>
      <dgm:spPr>
        <a:solidFill>
          <a:schemeClr val="bg1">
            <a:alpha val="90000"/>
          </a:schemeClr>
        </a:solidFill>
      </dgm:spPr>
      <dgm:t>
        <a:bodyPr/>
        <a:lstStyle/>
        <a:p>
          <a:r>
            <a:rPr lang="en-AU" b="0" i="0" u="none">
              <a:solidFill>
                <a:srgbClr val="002060"/>
              </a:solidFill>
            </a:rPr>
            <a:t>commence cash transaction (stop clock)</a:t>
          </a:r>
          <a:endParaRPr lang="en-AU">
            <a:solidFill>
              <a:srgbClr val="002060"/>
            </a:solidFill>
          </a:endParaRPr>
        </a:p>
      </dgm:t>
    </dgm:pt>
    <dgm:pt modelId="{8E98816B-5015-4139-9B6A-4384D1DF7D56}" type="parTrans" cxnId="{10D8C6D6-E889-4491-B1F2-586C418BB876}">
      <dgm:prSet/>
      <dgm:spPr/>
      <dgm:t>
        <a:bodyPr/>
        <a:lstStyle/>
        <a:p>
          <a:endParaRPr lang="en-AU">
            <a:solidFill>
              <a:srgbClr val="002060"/>
            </a:solidFill>
          </a:endParaRPr>
        </a:p>
      </dgm:t>
    </dgm:pt>
    <dgm:pt modelId="{C8EE6E03-03FF-4922-A705-A168C9B5F1AE}" type="sibTrans" cxnId="{10D8C6D6-E889-4491-B1F2-586C418BB876}">
      <dgm:prSet/>
      <dgm:spPr/>
      <dgm:t>
        <a:bodyPr/>
        <a:lstStyle/>
        <a:p>
          <a:endParaRPr lang="en-AU">
            <a:solidFill>
              <a:srgbClr val="002060"/>
            </a:solidFill>
          </a:endParaRPr>
        </a:p>
      </dgm:t>
    </dgm:pt>
    <dgm:pt modelId="{234BF473-75A1-4325-805B-20E1368D6BEB}" type="pres">
      <dgm:prSet presAssocID="{38F0F12C-1AF6-4D45-B112-CA54F4018EC6}" presName="linearFlow" presStyleCnt="0">
        <dgm:presLayoutVars>
          <dgm:dir/>
          <dgm:animLvl val="lvl"/>
          <dgm:resizeHandles val="exact"/>
        </dgm:presLayoutVars>
      </dgm:prSet>
      <dgm:spPr/>
    </dgm:pt>
    <dgm:pt modelId="{065BA6F4-A1DE-4495-82AA-A655A46AA3FC}" type="pres">
      <dgm:prSet presAssocID="{5E247A0C-05D0-4BE3-A02B-EC71196F3135}" presName="composite" presStyleCnt="0"/>
      <dgm:spPr/>
    </dgm:pt>
    <dgm:pt modelId="{9B20CD9F-4272-4CA8-921F-0FC7D3D40C5F}" type="pres">
      <dgm:prSet presAssocID="{5E247A0C-05D0-4BE3-A02B-EC71196F3135}" presName="parentText" presStyleLbl="alignNode1" presStyleIdx="0" presStyleCnt="6">
        <dgm:presLayoutVars>
          <dgm:chMax val="1"/>
          <dgm:bulletEnabled val="1"/>
        </dgm:presLayoutVars>
      </dgm:prSet>
      <dgm:spPr/>
    </dgm:pt>
    <dgm:pt modelId="{F8A6A8D4-0998-47F0-8E20-00A724D6642F}" type="pres">
      <dgm:prSet presAssocID="{5E247A0C-05D0-4BE3-A02B-EC71196F3135}" presName="descendantText" presStyleLbl="alignAcc1" presStyleIdx="0" presStyleCnt="6">
        <dgm:presLayoutVars>
          <dgm:bulletEnabled val="1"/>
        </dgm:presLayoutVars>
      </dgm:prSet>
      <dgm:spPr/>
    </dgm:pt>
    <dgm:pt modelId="{EF538100-AFC0-4EA6-B1A6-A5B494D88AA0}" type="pres">
      <dgm:prSet presAssocID="{B27F52BF-A02B-495E-BF90-CEE475791584}" presName="sp" presStyleCnt="0"/>
      <dgm:spPr/>
    </dgm:pt>
    <dgm:pt modelId="{F723EB20-AEA9-4AFA-ADDA-B27DA3EB5A3C}" type="pres">
      <dgm:prSet presAssocID="{67060084-FC3D-4990-B579-0C4053210D26}" presName="composite" presStyleCnt="0"/>
      <dgm:spPr/>
    </dgm:pt>
    <dgm:pt modelId="{F3DE6FC1-BA75-4537-8C44-84248710EC58}" type="pres">
      <dgm:prSet presAssocID="{67060084-FC3D-4990-B579-0C4053210D26}" presName="parentText" presStyleLbl="alignNode1" presStyleIdx="1" presStyleCnt="6">
        <dgm:presLayoutVars>
          <dgm:chMax val="1"/>
          <dgm:bulletEnabled val="1"/>
        </dgm:presLayoutVars>
      </dgm:prSet>
      <dgm:spPr/>
    </dgm:pt>
    <dgm:pt modelId="{A160438B-75BE-4E77-AEC7-8180ABD69F12}" type="pres">
      <dgm:prSet presAssocID="{67060084-FC3D-4990-B579-0C4053210D26}" presName="descendantText" presStyleLbl="alignAcc1" presStyleIdx="1" presStyleCnt="6">
        <dgm:presLayoutVars>
          <dgm:bulletEnabled val="1"/>
        </dgm:presLayoutVars>
      </dgm:prSet>
      <dgm:spPr>
        <a:solidFill>
          <a:schemeClr val="bg1">
            <a:alpha val="90000"/>
          </a:schemeClr>
        </a:solidFill>
      </dgm:spPr>
    </dgm:pt>
    <dgm:pt modelId="{3E2483B8-EC3C-450C-9866-A53C569BCC91}" type="pres">
      <dgm:prSet presAssocID="{91113A06-D116-42EB-8655-85796AD66AE3}" presName="sp" presStyleCnt="0"/>
      <dgm:spPr/>
    </dgm:pt>
    <dgm:pt modelId="{A298AC57-57B7-4174-842F-E43812E34322}" type="pres">
      <dgm:prSet presAssocID="{11DE6AED-150A-4C8D-ABCF-3E80654F1F87}" presName="composite" presStyleCnt="0"/>
      <dgm:spPr/>
    </dgm:pt>
    <dgm:pt modelId="{911DAA20-0AE2-481D-9203-81DDF9791C4C}" type="pres">
      <dgm:prSet presAssocID="{11DE6AED-150A-4C8D-ABCF-3E80654F1F87}" presName="parentText" presStyleLbl="alignNode1" presStyleIdx="2" presStyleCnt="6">
        <dgm:presLayoutVars>
          <dgm:chMax val="1"/>
          <dgm:bulletEnabled val="1"/>
        </dgm:presLayoutVars>
      </dgm:prSet>
      <dgm:spPr/>
    </dgm:pt>
    <dgm:pt modelId="{13307EAA-3823-4444-8B98-4B5216C6C22C}" type="pres">
      <dgm:prSet presAssocID="{11DE6AED-150A-4C8D-ABCF-3E80654F1F87}" presName="descendantText" presStyleLbl="alignAcc1" presStyleIdx="2" presStyleCnt="6">
        <dgm:presLayoutVars>
          <dgm:bulletEnabled val="1"/>
        </dgm:presLayoutVars>
      </dgm:prSet>
      <dgm:spPr/>
    </dgm:pt>
    <dgm:pt modelId="{05A7A1FE-0C13-40B8-B287-B29CFF49AFF5}" type="pres">
      <dgm:prSet presAssocID="{384CD849-BA9B-4CE2-92AC-40961CB75F94}" presName="sp" presStyleCnt="0"/>
      <dgm:spPr/>
    </dgm:pt>
    <dgm:pt modelId="{566D2571-C7FC-4860-B5F9-D2FC25063491}" type="pres">
      <dgm:prSet presAssocID="{50355194-C693-4C5D-B3A4-C8E94EB15E90}" presName="composite" presStyleCnt="0"/>
      <dgm:spPr/>
    </dgm:pt>
    <dgm:pt modelId="{ED47B84B-A459-48E2-8081-DDA81BA28B39}" type="pres">
      <dgm:prSet presAssocID="{50355194-C693-4C5D-B3A4-C8E94EB15E90}" presName="parentText" presStyleLbl="alignNode1" presStyleIdx="3" presStyleCnt="6">
        <dgm:presLayoutVars>
          <dgm:chMax val="1"/>
          <dgm:bulletEnabled val="1"/>
        </dgm:presLayoutVars>
      </dgm:prSet>
      <dgm:spPr/>
    </dgm:pt>
    <dgm:pt modelId="{44E6FD68-B4BB-4560-B293-116D004E30E7}" type="pres">
      <dgm:prSet presAssocID="{50355194-C693-4C5D-B3A4-C8E94EB15E90}" presName="descendantText" presStyleLbl="alignAcc1" presStyleIdx="3" presStyleCnt="6" custAng="0">
        <dgm:presLayoutVars>
          <dgm:bulletEnabled val="1"/>
        </dgm:presLayoutVars>
      </dgm:prSet>
      <dgm:spPr/>
    </dgm:pt>
    <dgm:pt modelId="{77E5BB25-1DB5-47AE-9DCD-F92341F6DEB4}" type="pres">
      <dgm:prSet presAssocID="{5D93EC36-1796-4860-B430-99CD616D9F67}" presName="sp" presStyleCnt="0"/>
      <dgm:spPr/>
    </dgm:pt>
    <dgm:pt modelId="{5BAF6EB4-2A8A-4443-A9C2-C1DBEFAF00DA}" type="pres">
      <dgm:prSet presAssocID="{8F945ECE-C97C-4EA3-925E-C9781BE014E9}" presName="composite" presStyleCnt="0"/>
      <dgm:spPr/>
    </dgm:pt>
    <dgm:pt modelId="{19B2126F-5EF0-4912-AF28-B2050D5FD741}" type="pres">
      <dgm:prSet presAssocID="{8F945ECE-C97C-4EA3-925E-C9781BE014E9}" presName="parentText" presStyleLbl="alignNode1" presStyleIdx="4" presStyleCnt="6">
        <dgm:presLayoutVars>
          <dgm:chMax val="1"/>
          <dgm:bulletEnabled val="1"/>
        </dgm:presLayoutVars>
      </dgm:prSet>
      <dgm:spPr/>
    </dgm:pt>
    <dgm:pt modelId="{16648BA4-756D-4B5D-A042-E8E686D6A9CA}" type="pres">
      <dgm:prSet presAssocID="{8F945ECE-C97C-4EA3-925E-C9781BE014E9}" presName="descendantText" presStyleLbl="alignAcc1" presStyleIdx="4" presStyleCnt="6">
        <dgm:presLayoutVars>
          <dgm:bulletEnabled val="1"/>
        </dgm:presLayoutVars>
      </dgm:prSet>
      <dgm:spPr/>
    </dgm:pt>
    <dgm:pt modelId="{ED904089-3CCD-4AE8-A927-182D32D88EEC}" type="pres">
      <dgm:prSet presAssocID="{0C3AB0D9-4FDE-4D7D-8799-C83007C8F5B9}" presName="sp" presStyleCnt="0"/>
      <dgm:spPr/>
    </dgm:pt>
    <dgm:pt modelId="{6C34C534-1B05-4EEB-93F3-302AFC2FB2E2}" type="pres">
      <dgm:prSet presAssocID="{BF371D1E-D7B8-4CBF-B0C1-AB6A2500C618}" presName="composite" presStyleCnt="0"/>
      <dgm:spPr/>
    </dgm:pt>
    <dgm:pt modelId="{DAD0A393-78F8-48AB-8F35-F5F64CA560E6}" type="pres">
      <dgm:prSet presAssocID="{BF371D1E-D7B8-4CBF-B0C1-AB6A2500C618}" presName="parentText" presStyleLbl="alignNode1" presStyleIdx="5" presStyleCnt="6">
        <dgm:presLayoutVars>
          <dgm:chMax val="1"/>
          <dgm:bulletEnabled val="1"/>
        </dgm:presLayoutVars>
      </dgm:prSet>
      <dgm:spPr/>
    </dgm:pt>
    <dgm:pt modelId="{96C2D4C8-D6A0-464F-8427-84CD864EC299}" type="pres">
      <dgm:prSet presAssocID="{BF371D1E-D7B8-4CBF-B0C1-AB6A2500C618}" presName="descendantText" presStyleLbl="alignAcc1" presStyleIdx="5" presStyleCnt="6">
        <dgm:presLayoutVars>
          <dgm:bulletEnabled val="1"/>
        </dgm:presLayoutVars>
      </dgm:prSet>
      <dgm:spPr/>
    </dgm:pt>
  </dgm:ptLst>
  <dgm:cxnLst>
    <dgm:cxn modelId="{E06F9B09-D351-4228-801E-D980FED731A0}" srcId="{8F945ECE-C97C-4EA3-925E-C9781BE014E9}" destId="{B94CDE2D-F02A-442C-9A25-67372D263F9C}" srcOrd="0" destOrd="0" parTransId="{528EAD75-7A0E-428E-9FA6-ED7BF7F47650}" sibTransId="{41FF7B59-4FE7-4008-A968-DF01AE5EA340}"/>
    <dgm:cxn modelId="{E420F20C-BDBB-44BF-9F93-7168BD575C61}" srcId="{38F0F12C-1AF6-4D45-B112-CA54F4018EC6}" destId="{67060084-FC3D-4990-B579-0C4053210D26}" srcOrd="1" destOrd="0" parTransId="{9AC49BC8-6169-4D32-9357-C25EA7133300}" sibTransId="{91113A06-D116-42EB-8655-85796AD66AE3}"/>
    <dgm:cxn modelId="{39D87113-2724-48B6-92FD-5929D966D057}" srcId="{38F0F12C-1AF6-4D45-B112-CA54F4018EC6}" destId="{BF371D1E-D7B8-4CBF-B0C1-AB6A2500C618}" srcOrd="5" destOrd="0" parTransId="{D1763E0C-0725-4A0D-936D-F8EB1A98FA7B}" sibTransId="{CCD1FE61-E585-4E68-9369-54D2FB1E5553}"/>
    <dgm:cxn modelId="{CB50E229-E930-4B59-B49C-BF5B59F7E438}" type="presOf" srcId="{5E247A0C-05D0-4BE3-A02B-EC71196F3135}" destId="{9B20CD9F-4272-4CA8-921F-0FC7D3D40C5F}" srcOrd="0" destOrd="0" presId="urn:microsoft.com/office/officeart/2005/8/layout/chevron2"/>
    <dgm:cxn modelId="{5F9A9C60-3177-48DC-B0D1-30A10A65614F}" srcId="{11DE6AED-150A-4C8D-ABCF-3E80654F1F87}" destId="{ED4C1168-2E6A-4614-A113-2BE169A2F900}" srcOrd="0" destOrd="0" parTransId="{A801D4FF-46B4-4EC1-965A-A8862B66714E}" sibTransId="{6E2D682F-7E21-40F9-A0DE-62BDF9A56E51}"/>
    <dgm:cxn modelId="{D1401342-24BF-48CE-95C8-DFC62AB707B3}" srcId="{38F0F12C-1AF6-4D45-B112-CA54F4018EC6}" destId="{50355194-C693-4C5D-B3A4-C8E94EB15E90}" srcOrd="3" destOrd="0" parTransId="{E754F8E5-B6FD-4472-A932-100073317A32}" sibTransId="{5D93EC36-1796-4860-B430-99CD616D9F67}"/>
    <dgm:cxn modelId="{BBFDC563-7FAE-4834-86FA-F9DA540E2476}" type="presOf" srcId="{B94CDE2D-F02A-442C-9A25-67372D263F9C}" destId="{16648BA4-756D-4B5D-A042-E8E686D6A9CA}" srcOrd="0" destOrd="0" presId="urn:microsoft.com/office/officeart/2005/8/layout/chevron2"/>
    <dgm:cxn modelId="{BB1CFF4A-2B1F-4207-8731-DBC1292111FE}" srcId="{38F0F12C-1AF6-4D45-B112-CA54F4018EC6}" destId="{5E247A0C-05D0-4BE3-A02B-EC71196F3135}" srcOrd="0" destOrd="0" parTransId="{CAB164E6-1496-40D7-8EA7-5144B9F70B54}" sibTransId="{B27F52BF-A02B-495E-BF90-CEE475791584}"/>
    <dgm:cxn modelId="{60B9BA4B-AD77-4EE0-A458-A4EE10E71536}" type="presOf" srcId="{8A921C66-F618-4745-969D-0BE04F29EA6E}" destId="{16648BA4-756D-4B5D-A042-E8E686D6A9CA}" srcOrd="0" destOrd="1" presId="urn:microsoft.com/office/officeart/2005/8/layout/chevron2"/>
    <dgm:cxn modelId="{53E0DF70-3C03-44A9-9140-601E87614550}" type="presOf" srcId="{8F945ECE-C97C-4EA3-925E-C9781BE014E9}" destId="{19B2126F-5EF0-4912-AF28-B2050D5FD741}" srcOrd="0" destOrd="0" presId="urn:microsoft.com/office/officeart/2005/8/layout/chevron2"/>
    <dgm:cxn modelId="{12E41174-3206-435C-93FA-EF82D168AD6B}" type="presOf" srcId="{DA1C8A74-4D25-4851-8E68-81D70E5AA0B7}" destId="{F8A6A8D4-0998-47F0-8E20-00A724D6642F}" srcOrd="0" destOrd="0" presId="urn:microsoft.com/office/officeart/2005/8/layout/chevron2"/>
    <dgm:cxn modelId="{1D58AB74-D479-4AEB-9C92-ADB92C6BE2CE}" type="presOf" srcId="{7D3CF29E-28F5-424E-A428-B341B491CC2F}" destId="{A160438B-75BE-4E77-AEC7-8180ABD69F12}" srcOrd="0" destOrd="2" presId="urn:microsoft.com/office/officeart/2005/8/layout/chevron2"/>
    <dgm:cxn modelId="{13C01876-FB33-4133-BBBD-8F12B9CC859D}" type="presOf" srcId="{5AF508E5-DB9F-478A-B2E7-F9FD7E0ABE84}" destId="{A160438B-75BE-4E77-AEC7-8180ABD69F12}" srcOrd="0" destOrd="1" presId="urn:microsoft.com/office/officeart/2005/8/layout/chevron2"/>
    <dgm:cxn modelId="{E01D7756-2177-4EFA-AB38-6997C3364E24}" type="presOf" srcId="{BF371D1E-D7B8-4CBF-B0C1-AB6A2500C618}" destId="{DAD0A393-78F8-48AB-8F35-F5F64CA560E6}" srcOrd="0" destOrd="0" presId="urn:microsoft.com/office/officeart/2005/8/layout/chevron2"/>
    <dgm:cxn modelId="{66CF697A-B6EB-4035-A15A-D1C8F29EEA3C}" srcId="{67060084-FC3D-4990-B579-0C4053210D26}" destId="{7D3CF29E-28F5-424E-A428-B341B491CC2F}" srcOrd="2" destOrd="0" parTransId="{A322737D-5BB1-4DB5-9BBD-99B166C2C50A}" sibTransId="{EFB02116-96BA-4EA4-92C9-993F5FAB7C42}"/>
    <dgm:cxn modelId="{84A84880-8223-4CC8-BC1F-01145201A901}" srcId="{38F0F12C-1AF6-4D45-B112-CA54F4018EC6}" destId="{11DE6AED-150A-4C8D-ABCF-3E80654F1F87}" srcOrd="2" destOrd="0" parTransId="{65CDAE8D-EAD2-4BF2-B854-A6A8AE61CDDA}" sibTransId="{384CD849-BA9B-4CE2-92AC-40961CB75F94}"/>
    <dgm:cxn modelId="{51912984-87AB-4298-B356-7929036BA97B}" type="presOf" srcId="{11DE6AED-150A-4C8D-ABCF-3E80654F1F87}" destId="{911DAA20-0AE2-481D-9203-81DDF9791C4C}" srcOrd="0" destOrd="0" presId="urn:microsoft.com/office/officeart/2005/8/layout/chevron2"/>
    <dgm:cxn modelId="{F7F99586-2402-43AA-8F34-C10A3A363D04}" type="presOf" srcId="{67060084-FC3D-4990-B579-0C4053210D26}" destId="{F3DE6FC1-BA75-4537-8C44-84248710EC58}" srcOrd="0" destOrd="0" presId="urn:microsoft.com/office/officeart/2005/8/layout/chevron2"/>
    <dgm:cxn modelId="{62EC4287-2B2E-4780-B283-E59B5E22CE5F}" type="presOf" srcId="{ED4C1168-2E6A-4614-A113-2BE169A2F900}" destId="{13307EAA-3823-4444-8B98-4B5216C6C22C}" srcOrd="0" destOrd="0" presId="urn:microsoft.com/office/officeart/2005/8/layout/chevron2"/>
    <dgm:cxn modelId="{5382178C-900B-4E54-816E-CCA256E71A22}" srcId="{67060084-FC3D-4990-B579-0C4053210D26}" destId="{B121BD84-AB1F-4F2F-B08B-BDE7E6A0C284}" srcOrd="0" destOrd="0" parTransId="{258F70E4-F6B7-4B23-96AB-6ADD15214AA0}" sibTransId="{EF0BD869-E8DB-4585-B284-5C68CD4905C8}"/>
    <dgm:cxn modelId="{2AE2668F-B267-4C1C-8A61-32C7931EAEBA}" srcId="{5E247A0C-05D0-4BE3-A02B-EC71196F3135}" destId="{DA1C8A74-4D25-4851-8E68-81D70E5AA0B7}" srcOrd="0" destOrd="0" parTransId="{681A2C66-6A60-4F7C-A0CA-53D9E2B456D8}" sibTransId="{1300CB21-273C-4CD9-8F0E-5A9815E4589E}"/>
    <dgm:cxn modelId="{FC1A5C97-D846-4454-86D9-B54930F68E97}" srcId="{38F0F12C-1AF6-4D45-B112-CA54F4018EC6}" destId="{8F945ECE-C97C-4EA3-925E-C9781BE014E9}" srcOrd="4" destOrd="0" parTransId="{155A0F73-6E72-4B50-AF5E-A9E590D9CBFE}" sibTransId="{0C3AB0D9-4FDE-4D7D-8799-C83007C8F5B9}"/>
    <dgm:cxn modelId="{C6D257A3-4F3F-494A-B924-43C50F6A1A97}" type="presOf" srcId="{B121BD84-AB1F-4F2F-B08B-BDE7E6A0C284}" destId="{A160438B-75BE-4E77-AEC7-8180ABD69F12}" srcOrd="0" destOrd="0" presId="urn:microsoft.com/office/officeart/2005/8/layout/chevron2"/>
    <dgm:cxn modelId="{2DAC8FA7-8DA4-495D-9422-B967FD187BC5}" type="presOf" srcId="{2AB362DE-9280-49C4-929A-B2533E441636}" destId="{44E6FD68-B4BB-4560-B293-116D004E30E7}" srcOrd="0" destOrd="0" presId="urn:microsoft.com/office/officeart/2005/8/layout/chevron2"/>
    <dgm:cxn modelId="{7FC92BAE-7125-4605-A9E0-D3D81F13B364}" srcId="{67060084-FC3D-4990-B579-0C4053210D26}" destId="{5AF508E5-DB9F-478A-B2E7-F9FD7E0ABE84}" srcOrd="1" destOrd="0" parTransId="{58369FB0-BBEC-4D05-BB47-41D3D0CD0017}" sibTransId="{67F26B0F-B23D-4A9A-B25D-83EB85DD7F48}"/>
    <dgm:cxn modelId="{02EA93AF-FCE1-4274-9BC9-63078DA8E873}" srcId="{8F945ECE-C97C-4EA3-925E-C9781BE014E9}" destId="{8A921C66-F618-4745-969D-0BE04F29EA6E}" srcOrd="1" destOrd="0" parTransId="{7EEA168D-6A98-492F-B092-9FF887ECBCFD}" sibTransId="{7CC1CC27-5A73-45CF-A70D-2E312BB1CB40}"/>
    <dgm:cxn modelId="{92A2B0B1-4142-448D-A2ED-144BF959E761}" srcId="{50355194-C693-4C5D-B3A4-C8E94EB15E90}" destId="{2AB362DE-9280-49C4-929A-B2533E441636}" srcOrd="0" destOrd="0" parTransId="{E043F12C-87A3-4A2A-8626-0DF891821B32}" sibTransId="{03EF11E2-9969-425E-B3E6-C3A94C750E12}"/>
    <dgm:cxn modelId="{C93A23B3-E3F9-4706-9532-35F964C52BA4}" srcId="{5E247A0C-05D0-4BE3-A02B-EC71196F3135}" destId="{4D63F9DE-85C6-464C-9CAB-E23A04AD6613}" srcOrd="1" destOrd="0" parTransId="{7A41D124-9CF5-439D-BBF5-298924BA9F74}" sibTransId="{75DEB7F9-1F0C-4AA9-AEB0-85E969FBFA0C}"/>
    <dgm:cxn modelId="{C752C6BF-F799-4C73-A989-8722535C5373}" type="presOf" srcId="{C02C15DF-4889-4CA5-8D76-7F4BA809E8FB}" destId="{96C2D4C8-D6A0-464F-8427-84CD864EC299}" srcOrd="0" destOrd="0" presId="urn:microsoft.com/office/officeart/2005/8/layout/chevron2"/>
    <dgm:cxn modelId="{32FAE3C0-842F-4628-B9AE-7C60A08E0CA6}" type="presOf" srcId="{4D63F9DE-85C6-464C-9CAB-E23A04AD6613}" destId="{F8A6A8D4-0998-47F0-8E20-00A724D6642F}" srcOrd="0" destOrd="1" presId="urn:microsoft.com/office/officeart/2005/8/layout/chevron2"/>
    <dgm:cxn modelId="{1B525BC2-D918-44BB-B51B-F1A70AB2669D}" type="presOf" srcId="{50355194-C693-4C5D-B3A4-C8E94EB15E90}" destId="{ED47B84B-A459-48E2-8081-DDA81BA28B39}" srcOrd="0" destOrd="0" presId="urn:microsoft.com/office/officeart/2005/8/layout/chevron2"/>
    <dgm:cxn modelId="{10D8C6D6-E889-4491-B1F2-586C418BB876}" srcId="{BF371D1E-D7B8-4CBF-B0C1-AB6A2500C618}" destId="{C02C15DF-4889-4CA5-8D76-7F4BA809E8FB}" srcOrd="0" destOrd="0" parTransId="{8E98816B-5015-4139-9B6A-4384D1DF7D56}" sibTransId="{C8EE6E03-03FF-4922-A705-A168C9B5F1AE}"/>
    <dgm:cxn modelId="{6EDD76E3-E471-428F-97BD-4671E2D332EE}" type="presOf" srcId="{38F0F12C-1AF6-4D45-B112-CA54F4018EC6}" destId="{234BF473-75A1-4325-805B-20E1368D6BEB}" srcOrd="0" destOrd="0" presId="urn:microsoft.com/office/officeart/2005/8/layout/chevron2"/>
    <dgm:cxn modelId="{E17A6D7F-3F08-4DAB-982E-1ED616E32B0D}" type="presParOf" srcId="{234BF473-75A1-4325-805B-20E1368D6BEB}" destId="{065BA6F4-A1DE-4495-82AA-A655A46AA3FC}" srcOrd="0" destOrd="0" presId="urn:microsoft.com/office/officeart/2005/8/layout/chevron2"/>
    <dgm:cxn modelId="{78917EF9-10AC-4481-BDC5-D03C559A8E99}" type="presParOf" srcId="{065BA6F4-A1DE-4495-82AA-A655A46AA3FC}" destId="{9B20CD9F-4272-4CA8-921F-0FC7D3D40C5F}" srcOrd="0" destOrd="0" presId="urn:microsoft.com/office/officeart/2005/8/layout/chevron2"/>
    <dgm:cxn modelId="{C4D12232-2596-461F-8EFB-8C6ABC771E66}" type="presParOf" srcId="{065BA6F4-A1DE-4495-82AA-A655A46AA3FC}" destId="{F8A6A8D4-0998-47F0-8E20-00A724D6642F}" srcOrd="1" destOrd="0" presId="urn:microsoft.com/office/officeart/2005/8/layout/chevron2"/>
    <dgm:cxn modelId="{6BA39970-E2F4-4DB2-A0EC-5B0177F6A3DF}" type="presParOf" srcId="{234BF473-75A1-4325-805B-20E1368D6BEB}" destId="{EF538100-AFC0-4EA6-B1A6-A5B494D88AA0}" srcOrd="1" destOrd="0" presId="urn:microsoft.com/office/officeart/2005/8/layout/chevron2"/>
    <dgm:cxn modelId="{EC6F7A8F-80DC-49A2-B29B-43F09FD572BB}" type="presParOf" srcId="{234BF473-75A1-4325-805B-20E1368D6BEB}" destId="{F723EB20-AEA9-4AFA-ADDA-B27DA3EB5A3C}" srcOrd="2" destOrd="0" presId="urn:microsoft.com/office/officeart/2005/8/layout/chevron2"/>
    <dgm:cxn modelId="{9A6B866D-741B-4586-B0D6-3160A0EEFB52}" type="presParOf" srcId="{F723EB20-AEA9-4AFA-ADDA-B27DA3EB5A3C}" destId="{F3DE6FC1-BA75-4537-8C44-84248710EC58}" srcOrd="0" destOrd="0" presId="urn:microsoft.com/office/officeart/2005/8/layout/chevron2"/>
    <dgm:cxn modelId="{CC3F891D-D0D0-4B16-A588-18520586436A}" type="presParOf" srcId="{F723EB20-AEA9-4AFA-ADDA-B27DA3EB5A3C}" destId="{A160438B-75BE-4E77-AEC7-8180ABD69F12}" srcOrd="1" destOrd="0" presId="urn:microsoft.com/office/officeart/2005/8/layout/chevron2"/>
    <dgm:cxn modelId="{D2454C02-4D4D-4388-A162-0C4A39112924}" type="presParOf" srcId="{234BF473-75A1-4325-805B-20E1368D6BEB}" destId="{3E2483B8-EC3C-450C-9866-A53C569BCC91}" srcOrd="3" destOrd="0" presId="urn:microsoft.com/office/officeart/2005/8/layout/chevron2"/>
    <dgm:cxn modelId="{88AA35B4-B48C-4994-84B0-1BA47A870C5A}" type="presParOf" srcId="{234BF473-75A1-4325-805B-20E1368D6BEB}" destId="{A298AC57-57B7-4174-842F-E43812E34322}" srcOrd="4" destOrd="0" presId="urn:microsoft.com/office/officeart/2005/8/layout/chevron2"/>
    <dgm:cxn modelId="{F41251FC-3767-4DF5-B978-A0B3A6EC8B96}" type="presParOf" srcId="{A298AC57-57B7-4174-842F-E43812E34322}" destId="{911DAA20-0AE2-481D-9203-81DDF9791C4C}" srcOrd="0" destOrd="0" presId="urn:microsoft.com/office/officeart/2005/8/layout/chevron2"/>
    <dgm:cxn modelId="{EADE5383-C480-4ACA-8A79-0218E4E91AAA}" type="presParOf" srcId="{A298AC57-57B7-4174-842F-E43812E34322}" destId="{13307EAA-3823-4444-8B98-4B5216C6C22C}" srcOrd="1" destOrd="0" presId="urn:microsoft.com/office/officeart/2005/8/layout/chevron2"/>
    <dgm:cxn modelId="{784E3120-CED8-4EB3-9B0F-ED5668999657}" type="presParOf" srcId="{234BF473-75A1-4325-805B-20E1368D6BEB}" destId="{05A7A1FE-0C13-40B8-B287-B29CFF49AFF5}" srcOrd="5" destOrd="0" presId="urn:microsoft.com/office/officeart/2005/8/layout/chevron2"/>
    <dgm:cxn modelId="{FC6E9B45-5265-43EF-B29D-21B02480DF5F}" type="presParOf" srcId="{234BF473-75A1-4325-805B-20E1368D6BEB}" destId="{566D2571-C7FC-4860-B5F9-D2FC25063491}" srcOrd="6" destOrd="0" presId="urn:microsoft.com/office/officeart/2005/8/layout/chevron2"/>
    <dgm:cxn modelId="{3E2EF665-105F-40AD-8128-79D10C966629}" type="presParOf" srcId="{566D2571-C7FC-4860-B5F9-D2FC25063491}" destId="{ED47B84B-A459-48E2-8081-DDA81BA28B39}" srcOrd="0" destOrd="0" presId="urn:microsoft.com/office/officeart/2005/8/layout/chevron2"/>
    <dgm:cxn modelId="{4BF33A57-61A7-4E79-BD89-5DB530B06284}" type="presParOf" srcId="{566D2571-C7FC-4860-B5F9-D2FC25063491}" destId="{44E6FD68-B4BB-4560-B293-116D004E30E7}" srcOrd="1" destOrd="0" presId="urn:microsoft.com/office/officeart/2005/8/layout/chevron2"/>
    <dgm:cxn modelId="{6D66F6B8-EAAF-480F-9176-77637AC93024}" type="presParOf" srcId="{234BF473-75A1-4325-805B-20E1368D6BEB}" destId="{77E5BB25-1DB5-47AE-9DCD-F92341F6DEB4}" srcOrd="7" destOrd="0" presId="urn:microsoft.com/office/officeart/2005/8/layout/chevron2"/>
    <dgm:cxn modelId="{2CF8B95C-881B-45C2-90D9-7EE45213F1F1}" type="presParOf" srcId="{234BF473-75A1-4325-805B-20E1368D6BEB}" destId="{5BAF6EB4-2A8A-4443-A9C2-C1DBEFAF00DA}" srcOrd="8" destOrd="0" presId="urn:microsoft.com/office/officeart/2005/8/layout/chevron2"/>
    <dgm:cxn modelId="{9A76A47A-E9E3-4F5D-B649-CB2F2C52282B}" type="presParOf" srcId="{5BAF6EB4-2A8A-4443-A9C2-C1DBEFAF00DA}" destId="{19B2126F-5EF0-4912-AF28-B2050D5FD741}" srcOrd="0" destOrd="0" presId="urn:microsoft.com/office/officeart/2005/8/layout/chevron2"/>
    <dgm:cxn modelId="{71521EB9-C024-40F5-BE43-86E6BAE34D0B}" type="presParOf" srcId="{5BAF6EB4-2A8A-4443-A9C2-C1DBEFAF00DA}" destId="{16648BA4-756D-4B5D-A042-E8E686D6A9CA}" srcOrd="1" destOrd="0" presId="urn:microsoft.com/office/officeart/2005/8/layout/chevron2"/>
    <dgm:cxn modelId="{1498F374-6B57-4259-ADD1-BB86DEE5F44A}" type="presParOf" srcId="{234BF473-75A1-4325-805B-20E1368D6BEB}" destId="{ED904089-3CCD-4AE8-A927-182D32D88EEC}" srcOrd="9" destOrd="0" presId="urn:microsoft.com/office/officeart/2005/8/layout/chevron2"/>
    <dgm:cxn modelId="{BB13374E-6503-47E2-ADE6-28AC237EC7FE}" type="presParOf" srcId="{234BF473-75A1-4325-805B-20E1368D6BEB}" destId="{6C34C534-1B05-4EEB-93F3-302AFC2FB2E2}" srcOrd="10" destOrd="0" presId="urn:microsoft.com/office/officeart/2005/8/layout/chevron2"/>
    <dgm:cxn modelId="{53B2CF73-40A6-4DC3-A1AC-AFBA9E045187}" type="presParOf" srcId="{6C34C534-1B05-4EEB-93F3-302AFC2FB2E2}" destId="{DAD0A393-78F8-48AB-8F35-F5F64CA560E6}" srcOrd="0" destOrd="0" presId="urn:microsoft.com/office/officeart/2005/8/layout/chevron2"/>
    <dgm:cxn modelId="{6B1B25E5-8F26-42AE-9964-E920EF0F2519}" type="presParOf" srcId="{6C34C534-1B05-4EEB-93F3-302AFC2FB2E2}" destId="{96C2D4C8-D6A0-464F-8427-84CD864EC299}" srcOrd="1" destOrd="0" presId="urn:microsoft.com/office/officeart/2005/8/layout/chevron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B20CD9F-4272-4CA8-921F-0FC7D3D40C5F}">
      <dsp:nvSpPr>
        <dsp:cNvPr id="0" name=""/>
        <dsp:cNvSpPr/>
      </dsp:nvSpPr>
      <dsp:spPr>
        <a:xfrm rot="5400000">
          <a:off x="-159754" y="165003"/>
          <a:ext cx="1065029" cy="745520"/>
        </a:xfrm>
        <a:prstGeom prst="chevron">
          <a:avLst/>
        </a:prstGeom>
        <a:gradFill rotWithShape="0">
          <a:gsLst>
            <a:gs pos="0">
              <a:schemeClr val="dk2">
                <a:hueOff val="0"/>
                <a:satOff val="0"/>
                <a:lumOff val="0"/>
                <a:alphaOff val="0"/>
                <a:tint val="50000"/>
                <a:satMod val="300000"/>
              </a:schemeClr>
            </a:gs>
            <a:gs pos="35000">
              <a:schemeClr val="dk2">
                <a:hueOff val="0"/>
                <a:satOff val="0"/>
                <a:lumOff val="0"/>
                <a:alphaOff val="0"/>
                <a:tint val="37000"/>
                <a:satMod val="300000"/>
              </a:schemeClr>
            </a:gs>
            <a:gs pos="100000">
              <a:schemeClr val="dk2">
                <a:hueOff val="0"/>
                <a:satOff val="0"/>
                <a:lumOff val="0"/>
                <a:alphaOff val="0"/>
                <a:tint val="15000"/>
                <a:satMod val="350000"/>
              </a:schemeClr>
            </a:gs>
          </a:gsLst>
          <a:lin ang="16200000" scaled="1"/>
        </a:gradFill>
        <a:ln w="9525" cap="flat" cmpd="sng" algn="ctr">
          <a:solidFill>
            <a:schemeClr val="dk2">
              <a:hueOff val="0"/>
              <a:satOff val="0"/>
              <a:lumOff val="0"/>
              <a:alphaOff val="0"/>
            </a:schemeClr>
          </a:solidFill>
          <a:prstDash val="solid"/>
        </a:ln>
        <a:effectLst>
          <a:outerShdw blurRad="40000" dist="20000" dir="5400000" rotWithShape="0">
            <a:srgbClr val="000000">
              <a:alpha val="38000"/>
            </a:srgbClr>
          </a:outerShdw>
        </a:effectLst>
      </dsp:spPr>
      <dsp:style>
        <a:lnRef idx="1">
          <a:scrgbClr r="0" g="0" b="0"/>
        </a:lnRef>
        <a:fillRef idx="2">
          <a:scrgbClr r="0" g="0" b="0"/>
        </a:fillRef>
        <a:effectRef idx="1">
          <a:scrgbClr r="0" g="0" b="0"/>
        </a:effectRef>
        <a:fontRef idx="minor">
          <a:schemeClr val="dk1"/>
        </a:fontRef>
      </dsp:style>
      <dsp:txBody>
        <a:bodyPr spcFirstLastPara="0" vert="horz" wrap="square" lIns="5080" tIns="5080" rIns="5080" bIns="5080" numCol="1" spcCol="1270" anchor="b" anchorCtr="0">
          <a:noAutofit/>
        </a:bodyPr>
        <a:lstStyle/>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r>
            <a:rPr lang="en-AU" sz="750" b="1" i="1" kern="1200">
              <a:solidFill>
                <a:srgbClr val="002060"/>
              </a:solidFill>
            </a:rPr>
            <a:t>Approach/ Wait</a:t>
          </a:r>
        </a:p>
      </dsp:txBody>
      <dsp:txXfrm rot="-5400000">
        <a:off x="1" y="378008"/>
        <a:ext cx="745520" cy="319509"/>
      </dsp:txXfrm>
    </dsp:sp>
    <dsp:sp modelId="{F8A6A8D4-0998-47F0-8E20-00A724D6642F}">
      <dsp:nvSpPr>
        <dsp:cNvPr id="0" name=""/>
        <dsp:cNvSpPr/>
      </dsp:nvSpPr>
      <dsp:spPr>
        <a:xfrm rot="5400000">
          <a:off x="2426743" y="-1675973"/>
          <a:ext cx="692633" cy="4055079"/>
        </a:xfrm>
        <a:prstGeom prst="round2SameRect">
          <a:avLst/>
        </a:prstGeom>
        <a:solidFill>
          <a:schemeClr val="bg1">
            <a:alpha val="90000"/>
          </a:schemeClr>
        </a:solidFill>
        <a:ln w="9525" cap="flat" cmpd="sng" algn="ctr">
          <a:solidFill>
            <a:schemeClr val="dk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92456" tIns="8255" rIns="8255" bIns="8255" numCol="1" spcCol="1270" anchor="ctr" anchorCtr="0">
          <a:noAutofit/>
        </a:bodyPr>
        <a:lstStyle/>
        <a:p>
          <a:pPr marL="114300" lvl="1" indent="-114300" algn="l" defTabSz="577850">
            <a:lnSpc>
              <a:spcPct val="90000"/>
            </a:lnSpc>
            <a:spcBef>
              <a:spcPct val="0"/>
            </a:spcBef>
            <a:spcAft>
              <a:spcPct val="15000"/>
            </a:spcAft>
            <a:buChar char="•"/>
          </a:pPr>
          <a:r>
            <a:rPr lang="en-AU" sz="1300" kern="1200">
              <a:solidFill>
                <a:srgbClr val="002060"/>
              </a:solidFill>
            </a:rPr>
            <a:t>approaches dispensary (start clock)</a:t>
          </a:r>
        </a:p>
        <a:p>
          <a:pPr marL="114300" lvl="1" indent="-114300" algn="l" defTabSz="577850">
            <a:lnSpc>
              <a:spcPct val="90000"/>
            </a:lnSpc>
            <a:spcBef>
              <a:spcPct val="0"/>
            </a:spcBef>
            <a:spcAft>
              <a:spcPct val="15000"/>
            </a:spcAft>
            <a:buChar char="•"/>
          </a:pPr>
          <a:r>
            <a:rPr lang="en-AU" sz="1300" kern="1200">
              <a:solidFill>
                <a:srgbClr val="002060"/>
              </a:solidFill>
            </a:rPr>
            <a:t>+/- wait</a:t>
          </a:r>
        </a:p>
      </dsp:txBody>
      <dsp:txXfrm rot="-5400000">
        <a:off x="745520" y="39062"/>
        <a:ext cx="4021267" cy="625009"/>
      </dsp:txXfrm>
    </dsp:sp>
    <dsp:sp modelId="{F3DE6FC1-BA75-4537-8C44-84248710EC58}">
      <dsp:nvSpPr>
        <dsp:cNvPr id="0" name=""/>
        <dsp:cNvSpPr/>
      </dsp:nvSpPr>
      <dsp:spPr>
        <a:xfrm rot="5400000">
          <a:off x="-159754" y="1130997"/>
          <a:ext cx="1065029" cy="745520"/>
        </a:xfrm>
        <a:prstGeom prst="chevron">
          <a:avLst/>
        </a:prstGeom>
        <a:gradFill rotWithShape="0">
          <a:gsLst>
            <a:gs pos="0">
              <a:schemeClr val="dk2">
                <a:hueOff val="0"/>
                <a:satOff val="0"/>
                <a:lumOff val="0"/>
                <a:alphaOff val="0"/>
                <a:tint val="50000"/>
                <a:satMod val="300000"/>
              </a:schemeClr>
            </a:gs>
            <a:gs pos="35000">
              <a:schemeClr val="dk2">
                <a:hueOff val="0"/>
                <a:satOff val="0"/>
                <a:lumOff val="0"/>
                <a:alphaOff val="0"/>
                <a:tint val="37000"/>
                <a:satMod val="300000"/>
              </a:schemeClr>
            </a:gs>
            <a:gs pos="100000">
              <a:schemeClr val="dk2">
                <a:hueOff val="0"/>
                <a:satOff val="0"/>
                <a:lumOff val="0"/>
                <a:alphaOff val="0"/>
                <a:tint val="15000"/>
                <a:satMod val="350000"/>
              </a:schemeClr>
            </a:gs>
          </a:gsLst>
          <a:lin ang="16200000" scaled="1"/>
        </a:gradFill>
        <a:ln w="9525" cap="flat" cmpd="sng" algn="ctr">
          <a:solidFill>
            <a:schemeClr val="dk2">
              <a:hueOff val="0"/>
              <a:satOff val="0"/>
              <a:lumOff val="0"/>
              <a:alphaOff val="0"/>
            </a:schemeClr>
          </a:solidFill>
          <a:prstDash val="solid"/>
        </a:ln>
        <a:effectLst>
          <a:outerShdw blurRad="40000" dist="20000" dir="5400000" rotWithShape="0">
            <a:srgbClr val="000000">
              <a:alpha val="38000"/>
            </a:srgbClr>
          </a:outerShdw>
        </a:effectLst>
      </dsp:spPr>
      <dsp:style>
        <a:lnRef idx="1">
          <a:scrgbClr r="0" g="0" b="0"/>
        </a:lnRef>
        <a:fillRef idx="2">
          <a:scrgbClr r="0" g="0" b="0"/>
        </a:fillRef>
        <a:effectRef idx="1">
          <a:scrgbClr r="0" g="0" b="0"/>
        </a:effectRef>
        <a:fontRef idx="minor">
          <a:schemeClr val="dk1"/>
        </a:fontRef>
      </dsp:style>
      <dsp:txBody>
        <a:bodyPr spcFirstLastPara="0" vert="horz" wrap="square" lIns="5080" tIns="5080" rIns="5080" bIns="5080" numCol="1" spcCol="1270" anchor="b" anchorCtr="0">
          <a:noAutofit/>
        </a:bodyPr>
        <a:lstStyle/>
        <a:p>
          <a:pPr marL="0" lvl="0" indent="0" defTabSz="355600">
            <a:lnSpc>
              <a:spcPct val="90000"/>
            </a:lnSpc>
            <a:spcBef>
              <a:spcPct val="0"/>
            </a:spcBef>
            <a:spcAft>
              <a:spcPct val="35000"/>
            </a:spcAft>
            <a:buNone/>
          </a:pPr>
          <a:endParaRPr lang="en-AU" sz="800" b="1" i="1" kern="1200">
            <a:solidFill>
              <a:srgbClr val="002060"/>
            </a:solidFill>
          </a:endParaRPr>
        </a:p>
        <a:p>
          <a:pPr marL="0" lvl="0" indent="0" defTabSz="355600">
            <a:lnSpc>
              <a:spcPct val="90000"/>
            </a:lnSpc>
            <a:spcBef>
              <a:spcPct val="0"/>
            </a:spcBef>
            <a:spcAft>
              <a:spcPct val="35000"/>
            </a:spcAft>
            <a:buNone/>
          </a:pPr>
          <a:endParaRPr lang="en-AU" sz="800" b="1" i="1" kern="1200">
            <a:solidFill>
              <a:srgbClr val="002060"/>
            </a:solidFill>
          </a:endParaRPr>
        </a:p>
        <a:p>
          <a:pPr marL="0" lvl="0" indent="0" defTabSz="355600">
            <a:lnSpc>
              <a:spcPct val="90000"/>
            </a:lnSpc>
            <a:spcBef>
              <a:spcPct val="0"/>
            </a:spcBef>
            <a:spcAft>
              <a:spcPct val="35000"/>
            </a:spcAft>
            <a:buNone/>
          </a:pPr>
          <a:endParaRPr lang="en-AU" sz="800" b="1" i="1" kern="1200">
            <a:solidFill>
              <a:srgbClr val="002060"/>
            </a:solidFill>
          </a:endParaRPr>
        </a:p>
        <a:p>
          <a:pPr marL="0" lvl="0" indent="0" defTabSz="355600">
            <a:lnSpc>
              <a:spcPct val="90000"/>
            </a:lnSpc>
            <a:spcBef>
              <a:spcPct val="0"/>
            </a:spcBef>
            <a:spcAft>
              <a:spcPct val="35000"/>
            </a:spcAft>
            <a:buNone/>
          </a:pPr>
          <a:endParaRPr lang="en-AU" sz="800" b="1" i="1" kern="1200">
            <a:solidFill>
              <a:srgbClr val="002060"/>
            </a:solidFill>
          </a:endParaRPr>
        </a:p>
        <a:p>
          <a:pPr marL="0" lvl="0" indent="0" defTabSz="355600">
            <a:lnSpc>
              <a:spcPct val="90000"/>
            </a:lnSpc>
            <a:spcBef>
              <a:spcPct val="0"/>
            </a:spcBef>
            <a:spcAft>
              <a:spcPct val="35000"/>
            </a:spcAft>
            <a:buNone/>
          </a:pPr>
          <a:endParaRPr lang="en-AU" sz="800" b="1" i="1" kern="1200">
            <a:solidFill>
              <a:srgbClr val="002060"/>
            </a:solidFill>
          </a:endParaRPr>
        </a:p>
        <a:p>
          <a:pPr marL="0" lvl="0" indent="0" defTabSz="355600">
            <a:lnSpc>
              <a:spcPct val="90000"/>
            </a:lnSpc>
            <a:spcBef>
              <a:spcPct val="0"/>
            </a:spcBef>
            <a:spcAft>
              <a:spcPct val="35000"/>
            </a:spcAft>
            <a:buNone/>
          </a:pPr>
          <a:endParaRPr lang="en-AU" sz="800" b="1" i="1"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endParaRPr lang="en-AU" sz="700" b="1" i="1" u="none" kern="1200">
            <a:solidFill>
              <a:srgbClr val="002060"/>
            </a:solidFill>
          </a:endParaRPr>
        </a:p>
        <a:p>
          <a:pPr marL="0" lvl="0" indent="0" algn="ctr" defTabSz="355600">
            <a:lnSpc>
              <a:spcPct val="90000"/>
            </a:lnSpc>
            <a:spcBef>
              <a:spcPct val="0"/>
            </a:spcBef>
            <a:spcAft>
              <a:spcPct val="35000"/>
            </a:spcAft>
            <a:buNone/>
          </a:pPr>
          <a:r>
            <a:rPr lang="en-AU" sz="800" b="1" i="1" u="none" kern="1200">
              <a:solidFill>
                <a:srgbClr val="002060"/>
              </a:solidFill>
            </a:rPr>
            <a:t>Clinical Key-in &amp; review</a:t>
          </a:r>
          <a:endParaRPr lang="en-AU" sz="800" b="1" i="1" kern="1200">
            <a:solidFill>
              <a:srgbClr val="002060"/>
            </a:solidFill>
          </a:endParaRPr>
        </a:p>
      </dsp:txBody>
      <dsp:txXfrm rot="-5400000">
        <a:off x="1" y="1344002"/>
        <a:ext cx="745520" cy="319509"/>
      </dsp:txXfrm>
    </dsp:sp>
    <dsp:sp modelId="{A160438B-75BE-4E77-AEC7-8180ABD69F12}">
      <dsp:nvSpPr>
        <dsp:cNvPr id="0" name=""/>
        <dsp:cNvSpPr/>
      </dsp:nvSpPr>
      <dsp:spPr>
        <a:xfrm rot="5400000">
          <a:off x="2426925" y="-710161"/>
          <a:ext cx="692269" cy="4055079"/>
        </a:xfrm>
        <a:prstGeom prst="round2SameRect">
          <a:avLst/>
        </a:prstGeom>
        <a:solidFill>
          <a:schemeClr val="bg1">
            <a:alpha val="90000"/>
          </a:schemeClr>
        </a:solidFill>
        <a:ln w="9525" cap="flat" cmpd="sng" algn="ctr">
          <a:solidFill>
            <a:schemeClr val="dk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92456" tIns="8255" rIns="8255" bIns="8255" numCol="1" spcCol="1270" anchor="ctr" anchorCtr="0">
          <a:noAutofit/>
        </a:bodyPr>
        <a:lstStyle/>
        <a:p>
          <a:pPr marL="114300" lvl="1" indent="-114300" algn="l" defTabSz="577850">
            <a:lnSpc>
              <a:spcPct val="90000"/>
            </a:lnSpc>
            <a:spcBef>
              <a:spcPct val="0"/>
            </a:spcBef>
            <a:spcAft>
              <a:spcPct val="15000"/>
            </a:spcAft>
            <a:buChar char="•"/>
          </a:pPr>
          <a:r>
            <a:rPr lang="en-AU" sz="1300" b="0" i="0" u="none" kern="1200">
              <a:solidFill>
                <a:srgbClr val="002060"/>
              </a:solidFill>
            </a:rPr>
            <a:t>facilitate clinical disclosure</a:t>
          </a:r>
          <a:endParaRPr lang="en-AU" sz="1300" kern="1200">
            <a:solidFill>
              <a:srgbClr val="002060"/>
            </a:solidFill>
          </a:endParaRPr>
        </a:p>
        <a:p>
          <a:pPr marL="114300" lvl="1" indent="-114300" algn="l" defTabSz="577850">
            <a:lnSpc>
              <a:spcPct val="90000"/>
            </a:lnSpc>
            <a:spcBef>
              <a:spcPct val="0"/>
            </a:spcBef>
            <a:spcAft>
              <a:spcPct val="15000"/>
            </a:spcAft>
            <a:buChar char="•"/>
          </a:pPr>
          <a:r>
            <a:rPr lang="en-AU" sz="1300" b="0" i="0" u="none" kern="1200">
              <a:solidFill>
                <a:srgbClr val="002060"/>
              </a:solidFill>
            </a:rPr>
            <a:t>participate in health advisory discussion</a:t>
          </a:r>
          <a:endParaRPr lang="en-AU" sz="1300" kern="1200">
            <a:solidFill>
              <a:srgbClr val="002060"/>
            </a:solidFill>
          </a:endParaRPr>
        </a:p>
        <a:p>
          <a:pPr marL="114300" lvl="1" indent="-114300" algn="l" defTabSz="577850">
            <a:lnSpc>
              <a:spcPct val="90000"/>
            </a:lnSpc>
            <a:spcBef>
              <a:spcPct val="0"/>
            </a:spcBef>
            <a:spcAft>
              <a:spcPct val="15000"/>
            </a:spcAft>
            <a:buChar char="•"/>
          </a:pPr>
          <a:r>
            <a:rPr lang="en-AU" sz="1300" b="0" i="0" u="none" kern="1200">
              <a:solidFill>
                <a:srgbClr val="002060"/>
              </a:solidFill>
            </a:rPr>
            <a:t>may stay (engaged or disengaged); may leave dispensary</a:t>
          </a:r>
          <a:endParaRPr lang="en-AU" sz="1300" kern="1200">
            <a:solidFill>
              <a:srgbClr val="002060"/>
            </a:solidFill>
          </a:endParaRPr>
        </a:p>
      </dsp:txBody>
      <dsp:txXfrm rot="-5400000">
        <a:off x="745520" y="1005038"/>
        <a:ext cx="4021285" cy="624681"/>
      </dsp:txXfrm>
    </dsp:sp>
    <dsp:sp modelId="{911DAA20-0AE2-481D-9203-81DDF9791C4C}">
      <dsp:nvSpPr>
        <dsp:cNvPr id="0" name=""/>
        <dsp:cNvSpPr/>
      </dsp:nvSpPr>
      <dsp:spPr>
        <a:xfrm rot="5400000">
          <a:off x="-159754" y="2096991"/>
          <a:ext cx="1065029" cy="745520"/>
        </a:xfrm>
        <a:prstGeom prst="chevron">
          <a:avLst/>
        </a:prstGeom>
        <a:gradFill rotWithShape="0">
          <a:gsLst>
            <a:gs pos="0">
              <a:schemeClr val="dk2">
                <a:hueOff val="0"/>
                <a:satOff val="0"/>
                <a:lumOff val="0"/>
                <a:alphaOff val="0"/>
                <a:tint val="50000"/>
                <a:satMod val="300000"/>
              </a:schemeClr>
            </a:gs>
            <a:gs pos="35000">
              <a:schemeClr val="dk2">
                <a:hueOff val="0"/>
                <a:satOff val="0"/>
                <a:lumOff val="0"/>
                <a:alphaOff val="0"/>
                <a:tint val="37000"/>
                <a:satMod val="300000"/>
              </a:schemeClr>
            </a:gs>
            <a:gs pos="100000">
              <a:schemeClr val="dk2">
                <a:hueOff val="0"/>
                <a:satOff val="0"/>
                <a:lumOff val="0"/>
                <a:alphaOff val="0"/>
                <a:tint val="15000"/>
                <a:satMod val="350000"/>
              </a:schemeClr>
            </a:gs>
          </a:gsLst>
          <a:lin ang="16200000" scaled="1"/>
        </a:gradFill>
        <a:ln w="9525" cap="flat" cmpd="sng" algn="ctr">
          <a:solidFill>
            <a:schemeClr val="dk2">
              <a:hueOff val="0"/>
              <a:satOff val="0"/>
              <a:lumOff val="0"/>
              <a:alphaOff val="0"/>
            </a:schemeClr>
          </a:solidFill>
          <a:prstDash val="solid"/>
        </a:ln>
        <a:effectLst>
          <a:outerShdw blurRad="40000" dist="20000" dir="5400000" rotWithShape="0">
            <a:srgbClr val="000000">
              <a:alpha val="38000"/>
            </a:srgbClr>
          </a:outerShdw>
        </a:effectLst>
      </dsp:spPr>
      <dsp:style>
        <a:lnRef idx="1">
          <a:scrgbClr r="0" g="0" b="0"/>
        </a:lnRef>
        <a:fillRef idx="2">
          <a:scrgbClr r="0" g="0" b="0"/>
        </a:fillRef>
        <a:effectRef idx="1">
          <a:scrgbClr r="0" g="0" b="0"/>
        </a:effectRef>
        <a:fontRef idx="minor">
          <a:schemeClr val="dk1"/>
        </a:fontRef>
      </dsp:style>
      <dsp:txBody>
        <a:bodyPr spcFirstLastPara="0" vert="horz" wrap="square" lIns="5080" tIns="5080" rIns="5080" bIns="5080" numCol="1" spcCol="1270" anchor="b" anchorCtr="0">
          <a:noAutofit/>
        </a:bodyPr>
        <a:lstStyle/>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r>
            <a:rPr lang="en-AU" sz="750" b="1" i="1" u="none" kern="1200">
              <a:solidFill>
                <a:srgbClr val="002060"/>
              </a:solidFill>
            </a:rPr>
            <a:t>Assemble medicine &amp; paperwork</a:t>
          </a:r>
          <a:endParaRPr lang="en-AU" sz="750" kern="1200">
            <a:solidFill>
              <a:srgbClr val="002060"/>
            </a:solidFill>
          </a:endParaRPr>
        </a:p>
      </dsp:txBody>
      <dsp:txXfrm rot="-5400000">
        <a:off x="1" y="2309996"/>
        <a:ext cx="745520" cy="319509"/>
      </dsp:txXfrm>
    </dsp:sp>
    <dsp:sp modelId="{13307EAA-3823-4444-8B98-4B5216C6C22C}">
      <dsp:nvSpPr>
        <dsp:cNvPr id="0" name=""/>
        <dsp:cNvSpPr/>
      </dsp:nvSpPr>
      <dsp:spPr>
        <a:xfrm rot="5400000">
          <a:off x="2426925" y="255832"/>
          <a:ext cx="692269" cy="4055079"/>
        </a:xfrm>
        <a:prstGeom prst="round2SameRect">
          <a:avLst/>
        </a:prstGeom>
        <a:solidFill>
          <a:schemeClr val="bg1">
            <a:alpha val="90000"/>
          </a:schemeClr>
        </a:solidFill>
        <a:ln w="9525" cap="flat" cmpd="sng" algn="ctr">
          <a:solidFill>
            <a:schemeClr val="dk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92456" tIns="8255" rIns="8255" bIns="8255" numCol="1" spcCol="1270" anchor="ctr" anchorCtr="0">
          <a:noAutofit/>
        </a:bodyPr>
        <a:lstStyle/>
        <a:p>
          <a:pPr marL="114300" lvl="1" indent="-114300" algn="l" defTabSz="577850">
            <a:lnSpc>
              <a:spcPct val="90000"/>
            </a:lnSpc>
            <a:spcBef>
              <a:spcPct val="0"/>
            </a:spcBef>
            <a:spcAft>
              <a:spcPct val="15000"/>
            </a:spcAft>
            <a:buChar char="•"/>
          </a:pPr>
          <a:r>
            <a:rPr lang="en-AU" sz="1300" b="0" i="0" u="none" kern="1200">
              <a:solidFill>
                <a:srgbClr val="002060"/>
              </a:solidFill>
            </a:rPr>
            <a:t>stay (engaged or disengaged); elsewhere in store; gone</a:t>
          </a:r>
          <a:endParaRPr lang="en-AU" sz="1300" kern="1200">
            <a:solidFill>
              <a:srgbClr val="002060"/>
            </a:solidFill>
          </a:endParaRPr>
        </a:p>
      </dsp:txBody>
      <dsp:txXfrm rot="-5400000">
        <a:off x="745520" y="1971031"/>
        <a:ext cx="4021285" cy="624681"/>
      </dsp:txXfrm>
    </dsp:sp>
    <dsp:sp modelId="{ED47B84B-A459-48E2-8081-DDA81BA28B39}">
      <dsp:nvSpPr>
        <dsp:cNvPr id="0" name=""/>
        <dsp:cNvSpPr/>
      </dsp:nvSpPr>
      <dsp:spPr>
        <a:xfrm rot="5400000">
          <a:off x="-159754" y="3062986"/>
          <a:ext cx="1065029" cy="745520"/>
        </a:xfrm>
        <a:prstGeom prst="chevron">
          <a:avLst/>
        </a:prstGeom>
        <a:gradFill rotWithShape="0">
          <a:gsLst>
            <a:gs pos="0">
              <a:schemeClr val="dk2">
                <a:hueOff val="0"/>
                <a:satOff val="0"/>
                <a:lumOff val="0"/>
                <a:alphaOff val="0"/>
                <a:tint val="50000"/>
                <a:satMod val="300000"/>
              </a:schemeClr>
            </a:gs>
            <a:gs pos="35000">
              <a:schemeClr val="dk2">
                <a:hueOff val="0"/>
                <a:satOff val="0"/>
                <a:lumOff val="0"/>
                <a:alphaOff val="0"/>
                <a:tint val="37000"/>
                <a:satMod val="300000"/>
              </a:schemeClr>
            </a:gs>
            <a:gs pos="100000">
              <a:schemeClr val="dk2">
                <a:hueOff val="0"/>
                <a:satOff val="0"/>
                <a:lumOff val="0"/>
                <a:alphaOff val="0"/>
                <a:tint val="15000"/>
                <a:satMod val="350000"/>
              </a:schemeClr>
            </a:gs>
          </a:gsLst>
          <a:lin ang="16200000" scaled="1"/>
        </a:gradFill>
        <a:ln w="9525" cap="flat" cmpd="sng" algn="ctr">
          <a:solidFill>
            <a:schemeClr val="dk2">
              <a:hueOff val="0"/>
              <a:satOff val="0"/>
              <a:lumOff val="0"/>
              <a:alphaOff val="0"/>
            </a:schemeClr>
          </a:solidFill>
          <a:prstDash val="solid"/>
        </a:ln>
        <a:effectLst>
          <a:outerShdw blurRad="40000" dist="20000" dir="5400000" rotWithShape="0">
            <a:srgbClr val="000000">
              <a:alpha val="38000"/>
            </a:srgbClr>
          </a:outerShdw>
        </a:effectLst>
      </dsp:spPr>
      <dsp:style>
        <a:lnRef idx="1">
          <a:scrgbClr r="0" g="0" b="0"/>
        </a:lnRef>
        <a:fillRef idx="2">
          <a:scrgbClr r="0" g="0" b="0"/>
        </a:fillRef>
        <a:effectRef idx="1">
          <a:scrgbClr r="0" g="0" b="0"/>
        </a:effectRef>
        <a:fontRef idx="minor">
          <a:schemeClr val="dk1"/>
        </a:fontRef>
      </dsp:style>
      <dsp:txBody>
        <a:bodyPr spcFirstLastPara="0" vert="horz" wrap="square" lIns="5080" tIns="5080" rIns="5080" bIns="5080" numCol="1" spcCol="1270" anchor="b" anchorCtr="0">
          <a:noAutofit/>
        </a:bodyPr>
        <a:lstStyle/>
        <a:p>
          <a:pPr marL="0" lvl="0" indent="0" algn="ctr" defTabSz="333375">
            <a:lnSpc>
              <a:spcPct val="90000"/>
            </a:lnSpc>
            <a:spcBef>
              <a:spcPct val="0"/>
            </a:spcBef>
            <a:spcAft>
              <a:spcPct val="35000"/>
            </a:spcAft>
            <a:buNone/>
          </a:pPr>
          <a:r>
            <a:rPr lang="en-AU" sz="750" b="1" i="1" u="none" kern="1200">
              <a:solidFill>
                <a:srgbClr val="002060"/>
              </a:solidFill>
            </a:rPr>
            <a:t>Check script</a:t>
          </a:r>
          <a:endParaRPr lang="en-AU" sz="750" kern="1200">
            <a:solidFill>
              <a:srgbClr val="002060"/>
            </a:solidFill>
          </a:endParaRPr>
        </a:p>
      </dsp:txBody>
      <dsp:txXfrm rot="-5400000">
        <a:off x="1" y="3275991"/>
        <a:ext cx="745520" cy="319509"/>
      </dsp:txXfrm>
    </dsp:sp>
    <dsp:sp modelId="{44E6FD68-B4BB-4560-B293-116D004E30E7}">
      <dsp:nvSpPr>
        <dsp:cNvPr id="0" name=""/>
        <dsp:cNvSpPr/>
      </dsp:nvSpPr>
      <dsp:spPr>
        <a:xfrm rot="5400000">
          <a:off x="2426925" y="1221826"/>
          <a:ext cx="692269" cy="4055079"/>
        </a:xfrm>
        <a:prstGeom prst="round2SameRect">
          <a:avLst/>
        </a:prstGeom>
        <a:solidFill>
          <a:schemeClr val="bg1">
            <a:alpha val="90000"/>
          </a:schemeClr>
        </a:solidFill>
        <a:ln w="9525" cap="flat" cmpd="sng" algn="ctr">
          <a:solidFill>
            <a:schemeClr val="dk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92456" tIns="8255" rIns="8255" bIns="8255" numCol="1" spcCol="1270" anchor="ctr" anchorCtr="0">
          <a:noAutofit/>
        </a:bodyPr>
        <a:lstStyle/>
        <a:p>
          <a:pPr marL="114300" lvl="1" indent="-114300" algn="l" defTabSz="577850">
            <a:lnSpc>
              <a:spcPct val="90000"/>
            </a:lnSpc>
            <a:spcBef>
              <a:spcPct val="0"/>
            </a:spcBef>
            <a:spcAft>
              <a:spcPct val="15000"/>
            </a:spcAft>
            <a:buChar char="•"/>
          </a:pPr>
          <a:r>
            <a:rPr lang="en-AU" sz="1300" b="0" i="0" u="none" kern="1200">
              <a:solidFill>
                <a:srgbClr val="002060"/>
              </a:solidFill>
            </a:rPr>
            <a:t>stay (engaged or disengaged); elsewhere in store; gone</a:t>
          </a:r>
          <a:endParaRPr lang="en-AU" sz="1300" kern="1200">
            <a:solidFill>
              <a:srgbClr val="002060"/>
            </a:solidFill>
          </a:endParaRPr>
        </a:p>
      </dsp:txBody>
      <dsp:txXfrm rot="-5400000">
        <a:off x="745520" y="2937025"/>
        <a:ext cx="4021285" cy="624681"/>
      </dsp:txXfrm>
    </dsp:sp>
    <dsp:sp modelId="{19B2126F-5EF0-4912-AF28-B2050D5FD741}">
      <dsp:nvSpPr>
        <dsp:cNvPr id="0" name=""/>
        <dsp:cNvSpPr/>
      </dsp:nvSpPr>
      <dsp:spPr>
        <a:xfrm rot="5400000">
          <a:off x="-159754" y="4028980"/>
          <a:ext cx="1065029" cy="745520"/>
        </a:xfrm>
        <a:prstGeom prst="chevron">
          <a:avLst/>
        </a:prstGeom>
        <a:gradFill rotWithShape="0">
          <a:gsLst>
            <a:gs pos="0">
              <a:schemeClr val="dk2">
                <a:hueOff val="0"/>
                <a:satOff val="0"/>
                <a:lumOff val="0"/>
                <a:alphaOff val="0"/>
                <a:tint val="50000"/>
                <a:satMod val="300000"/>
              </a:schemeClr>
            </a:gs>
            <a:gs pos="35000">
              <a:schemeClr val="dk2">
                <a:hueOff val="0"/>
                <a:satOff val="0"/>
                <a:lumOff val="0"/>
                <a:alphaOff val="0"/>
                <a:tint val="37000"/>
                <a:satMod val="300000"/>
              </a:schemeClr>
            </a:gs>
            <a:gs pos="100000">
              <a:schemeClr val="dk2">
                <a:hueOff val="0"/>
                <a:satOff val="0"/>
                <a:lumOff val="0"/>
                <a:alphaOff val="0"/>
                <a:tint val="15000"/>
                <a:satMod val="350000"/>
              </a:schemeClr>
            </a:gs>
          </a:gsLst>
          <a:lin ang="16200000" scaled="1"/>
        </a:gradFill>
        <a:ln w="9525" cap="flat" cmpd="sng" algn="ctr">
          <a:solidFill>
            <a:schemeClr val="dk2">
              <a:hueOff val="0"/>
              <a:satOff val="0"/>
              <a:lumOff val="0"/>
              <a:alphaOff val="0"/>
            </a:schemeClr>
          </a:solidFill>
          <a:prstDash val="solid"/>
        </a:ln>
        <a:effectLst>
          <a:outerShdw blurRad="40000" dist="20000" dir="5400000" rotWithShape="0">
            <a:srgbClr val="000000">
              <a:alpha val="38000"/>
            </a:srgbClr>
          </a:outerShdw>
        </a:effectLst>
      </dsp:spPr>
      <dsp:style>
        <a:lnRef idx="1">
          <a:scrgbClr r="0" g="0" b="0"/>
        </a:lnRef>
        <a:fillRef idx="2">
          <a:scrgbClr r="0" g="0" b="0"/>
        </a:fillRef>
        <a:effectRef idx="1">
          <a:scrgbClr r="0" g="0" b="0"/>
        </a:effectRef>
        <a:fontRef idx="minor">
          <a:schemeClr val="dk1"/>
        </a:fontRef>
      </dsp:style>
      <dsp:txBody>
        <a:bodyPr spcFirstLastPara="0" vert="horz" wrap="square" lIns="5080" tIns="5080" rIns="5080" bIns="5080" numCol="1" spcCol="1270" anchor="b" anchorCtr="0">
          <a:noAutofit/>
        </a:bodyPr>
        <a:lstStyle/>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endParaRPr lang="en-AU" sz="750" b="1" i="1" u="none" kern="1200">
            <a:solidFill>
              <a:srgbClr val="002060"/>
            </a:solidFill>
          </a:endParaRPr>
        </a:p>
        <a:p>
          <a:pPr marL="0" lvl="0" indent="0" algn="ctr" defTabSz="333375">
            <a:lnSpc>
              <a:spcPct val="90000"/>
            </a:lnSpc>
            <a:spcBef>
              <a:spcPct val="0"/>
            </a:spcBef>
            <a:spcAft>
              <a:spcPct val="35000"/>
            </a:spcAft>
            <a:buNone/>
          </a:pPr>
          <a:r>
            <a:rPr lang="en-AU" sz="750" b="1" i="1" u="none" kern="1200">
              <a:solidFill>
                <a:srgbClr val="002060"/>
              </a:solidFill>
            </a:rPr>
            <a:t>Customer </a:t>
          </a:r>
        </a:p>
        <a:p>
          <a:pPr marL="0" lvl="0" indent="0" algn="ctr" defTabSz="333375">
            <a:lnSpc>
              <a:spcPct val="90000"/>
            </a:lnSpc>
            <a:spcBef>
              <a:spcPct val="0"/>
            </a:spcBef>
            <a:spcAft>
              <a:spcPct val="35000"/>
            </a:spcAft>
            <a:buNone/>
          </a:pPr>
          <a:r>
            <a:rPr lang="en-AU" sz="750" b="1" i="1" u="none" kern="1200">
              <a:solidFill>
                <a:srgbClr val="002060"/>
              </a:solidFill>
            </a:rPr>
            <a:t>script consult</a:t>
          </a:r>
          <a:endParaRPr lang="en-AU" sz="750" kern="1200">
            <a:solidFill>
              <a:srgbClr val="002060"/>
            </a:solidFill>
          </a:endParaRPr>
        </a:p>
      </dsp:txBody>
      <dsp:txXfrm rot="-5400000">
        <a:off x="1" y="4241985"/>
        <a:ext cx="745520" cy="319509"/>
      </dsp:txXfrm>
    </dsp:sp>
    <dsp:sp modelId="{16648BA4-756D-4B5D-A042-E8E686D6A9CA}">
      <dsp:nvSpPr>
        <dsp:cNvPr id="0" name=""/>
        <dsp:cNvSpPr/>
      </dsp:nvSpPr>
      <dsp:spPr>
        <a:xfrm rot="5400000">
          <a:off x="2426925" y="2187821"/>
          <a:ext cx="692269" cy="4055079"/>
        </a:xfrm>
        <a:prstGeom prst="round2SameRect">
          <a:avLst/>
        </a:prstGeom>
        <a:solidFill>
          <a:schemeClr val="bg1">
            <a:alpha val="90000"/>
          </a:schemeClr>
        </a:solidFill>
        <a:ln w="9525" cap="flat" cmpd="sng" algn="ctr">
          <a:solidFill>
            <a:schemeClr val="dk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92456" tIns="8255" rIns="8255" bIns="8255" numCol="1" spcCol="1270" anchor="ctr" anchorCtr="0">
          <a:noAutofit/>
        </a:bodyPr>
        <a:lstStyle/>
        <a:p>
          <a:pPr marL="114300" lvl="1" indent="-114300" algn="l" defTabSz="577850">
            <a:lnSpc>
              <a:spcPct val="90000"/>
            </a:lnSpc>
            <a:spcBef>
              <a:spcPct val="0"/>
            </a:spcBef>
            <a:spcAft>
              <a:spcPct val="15000"/>
            </a:spcAft>
            <a:buChar char="•"/>
          </a:pPr>
          <a:r>
            <a:rPr lang="en-AU" sz="1300" b="0" i="0" u="none" kern="1200">
              <a:solidFill>
                <a:srgbClr val="002060"/>
              </a:solidFill>
            </a:rPr>
            <a:t>facilitate product information exchange </a:t>
          </a:r>
          <a:endParaRPr lang="en-AU" sz="1300" kern="1200">
            <a:solidFill>
              <a:srgbClr val="002060"/>
            </a:solidFill>
          </a:endParaRPr>
        </a:p>
        <a:p>
          <a:pPr marL="114300" lvl="1" indent="-114300" algn="l" defTabSz="577850">
            <a:lnSpc>
              <a:spcPct val="90000"/>
            </a:lnSpc>
            <a:spcBef>
              <a:spcPct val="0"/>
            </a:spcBef>
            <a:spcAft>
              <a:spcPct val="15000"/>
            </a:spcAft>
            <a:buChar char="•"/>
          </a:pPr>
          <a:r>
            <a:rPr lang="en-AU" sz="1300" b="0" i="0" u="none" kern="1200">
              <a:solidFill>
                <a:srgbClr val="002060"/>
              </a:solidFill>
            </a:rPr>
            <a:t>participate in health advisory discussion</a:t>
          </a:r>
          <a:endParaRPr lang="en-AU" sz="1300" kern="1200">
            <a:solidFill>
              <a:srgbClr val="002060"/>
            </a:solidFill>
          </a:endParaRPr>
        </a:p>
      </dsp:txBody>
      <dsp:txXfrm rot="-5400000">
        <a:off x="745520" y="3903020"/>
        <a:ext cx="4021285" cy="624681"/>
      </dsp:txXfrm>
    </dsp:sp>
    <dsp:sp modelId="{DAD0A393-78F8-48AB-8F35-F5F64CA560E6}">
      <dsp:nvSpPr>
        <dsp:cNvPr id="0" name=""/>
        <dsp:cNvSpPr/>
      </dsp:nvSpPr>
      <dsp:spPr>
        <a:xfrm rot="5400000">
          <a:off x="-159754" y="4994974"/>
          <a:ext cx="1065029" cy="745520"/>
        </a:xfrm>
        <a:prstGeom prst="chevron">
          <a:avLst/>
        </a:prstGeom>
        <a:gradFill rotWithShape="0">
          <a:gsLst>
            <a:gs pos="0">
              <a:schemeClr val="dk2">
                <a:hueOff val="0"/>
                <a:satOff val="0"/>
                <a:lumOff val="0"/>
                <a:alphaOff val="0"/>
                <a:tint val="50000"/>
                <a:satMod val="300000"/>
              </a:schemeClr>
            </a:gs>
            <a:gs pos="35000">
              <a:schemeClr val="dk2">
                <a:hueOff val="0"/>
                <a:satOff val="0"/>
                <a:lumOff val="0"/>
                <a:alphaOff val="0"/>
                <a:tint val="37000"/>
                <a:satMod val="300000"/>
              </a:schemeClr>
            </a:gs>
            <a:gs pos="100000">
              <a:schemeClr val="dk2">
                <a:hueOff val="0"/>
                <a:satOff val="0"/>
                <a:lumOff val="0"/>
                <a:alphaOff val="0"/>
                <a:tint val="15000"/>
                <a:satMod val="350000"/>
              </a:schemeClr>
            </a:gs>
          </a:gsLst>
          <a:lin ang="16200000" scaled="1"/>
        </a:gradFill>
        <a:ln w="9525" cap="flat" cmpd="sng" algn="ctr">
          <a:solidFill>
            <a:schemeClr val="dk2">
              <a:hueOff val="0"/>
              <a:satOff val="0"/>
              <a:lumOff val="0"/>
              <a:alphaOff val="0"/>
            </a:schemeClr>
          </a:solidFill>
          <a:prstDash val="solid"/>
        </a:ln>
        <a:effectLst>
          <a:outerShdw blurRad="40000" dist="20000" dir="5400000" rotWithShape="0">
            <a:srgbClr val="000000">
              <a:alpha val="38000"/>
            </a:srgbClr>
          </a:outerShdw>
        </a:effectLst>
      </dsp:spPr>
      <dsp:style>
        <a:lnRef idx="1">
          <a:scrgbClr r="0" g="0" b="0"/>
        </a:lnRef>
        <a:fillRef idx="2">
          <a:scrgbClr r="0" g="0" b="0"/>
        </a:fillRef>
        <a:effectRef idx="1">
          <a:scrgbClr r="0" g="0" b="0"/>
        </a:effectRef>
        <a:fontRef idx="minor">
          <a:schemeClr val="dk1"/>
        </a:fontRef>
      </dsp:style>
      <dsp:txBody>
        <a:bodyPr spcFirstLastPara="0" vert="horz" wrap="square" lIns="5080" tIns="5080" rIns="5080" bIns="5080" numCol="1" spcCol="1270" anchor="b" anchorCtr="0">
          <a:noAutofit/>
        </a:bodyPr>
        <a:lstStyle/>
        <a:p>
          <a:pPr marL="0" lvl="0" indent="0" algn="ctr" defTabSz="333375">
            <a:lnSpc>
              <a:spcPct val="90000"/>
            </a:lnSpc>
            <a:spcBef>
              <a:spcPct val="0"/>
            </a:spcBef>
            <a:spcAft>
              <a:spcPct val="35000"/>
            </a:spcAft>
            <a:buNone/>
          </a:pPr>
          <a:r>
            <a:rPr lang="en-AU" sz="750" b="1" i="1" u="none" kern="1200">
              <a:solidFill>
                <a:srgbClr val="002060"/>
              </a:solidFill>
            </a:rPr>
            <a:t>Payment</a:t>
          </a:r>
          <a:endParaRPr lang="en-AU" sz="750" kern="1200">
            <a:solidFill>
              <a:srgbClr val="002060"/>
            </a:solidFill>
          </a:endParaRPr>
        </a:p>
      </dsp:txBody>
      <dsp:txXfrm rot="-5400000">
        <a:off x="1" y="5207979"/>
        <a:ext cx="745520" cy="319509"/>
      </dsp:txXfrm>
    </dsp:sp>
    <dsp:sp modelId="{96C2D4C8-D6A0-464F-8427-84CD864EC299}">
      <dsp:nvSpPr>
        <dsp:cNvPr id="0" name=""/>
        <dsp:cNvSpPr/>
      </dsp:nvSpPr>
      <dsp:spPr>
        <a:xfrm rot="5400000">
          <a:off x="2426925" y="3153815"/>
          <a:ext cx="692269" cy="4055079"/>
        </a:xfrm>
        <a:prstGeom prst="round2SameRect">
          <a:avLst/>
        </a:prstGeom>
        <a:solidFill>
          <a:schemeClr val="bg1">
            <a:alpha val="90000"/>
          </a:schemeClr>
        </a:solidFill>
        <a:ln w="9525" cap="flat" cmpd="sng" algn="ctr">
          <a:solidFill>
            <a:schemeClr val="dk2">
              <a:hueOff val="0"/>
              <a:satOff val="0"/>
              <a:lumOff val="0"/>
              <a:alphaOff val="0"/>
            </a:schemeClr>
          </a:solidFill>
          <a:prstDash val="solid"/>
        </a:ln>
        <a:effectLst/>
      </dsp:spPr>
      <dsp:style>
        <a:lnRef idx="1">
          <a:scrgbClr r="0" g="0" b="0"/>
        </a:lnRef>
        <a:fillRef idx="1">
          <a:scrgbClr r="0" g="0" b="0"/>
        </a:fillRef>
        <a:effectRef idx="0">
          <a:scrgbClr r="0" g="0" b="0"/>
        </a:effectRef>
        <a:fontRef idx="minor"/>
      </dsp:style>
      <dsp:txBody>
        <a:bodyPr spcFirstLastPara="0" vert="horz" wrap="square" lIns="92456" tIns="8255" rIns="8255" bIns="8255" numCol="1" spcCol="1270" anchor="ctr" anchorCtr="0">
          <a:noAutofit/>
        </a:bodyPr>
        <a:lstStyle/>
        <a:p>
          <a:pPr marL="114300" lvl="1" indent="-114300" algn="l" defTabSz="577850">
            <a:lnSpc>
              <a:spcPct val="90000"/>
            </a:lnSpc>
            <a:spcBef>
              <a:spcPct val="0"/>
            </a:spcBef>
            <a:spcAft>
              <a:spcPct val="15000"/>
            </a:spcAft>
            <a:buChar char="•"/>
          </a:pPr>
          <a:r>
            <a:rPr lang="en-AU" sz="1300" b="0" i="0" u="none" kern="1200">
              <a:solidFill>
                <a:srgbClr val="002060"/>
              </a:solidFill>
            </a:rPr>
            <a:t>commence cash transaction (stop clock)</a:t>
          </a:r>
          <a:endParaRPr lang="en-AU" sz="1300" kern="1200">
            <a:solidFill>
              <a:srgbClr val="002060"/>
            </a:solidFill>
          </a:endParaRPr>
        </a:p>
      </dsp:txBody>
      <dsp:txXfrm rot="-5400000">
        <a:off x="745520" y="4869014"/>
        <a:ext cx="4021285" cy="624681"/>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chart" Target="../charts/chart14.xml"/><Relationship Id="rId7" Type="http://schemas.openxmlformats.org/officeDocument/2006/relationships/image" Target="../media/image16.emf"/><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s>
</file>

<file path=xl/drawings/_rels/drawing17.x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15.emf"/><Relationship Id="rId7" Type="http://schemas.openxmlformats.org/officeDocument/2006/relationships/image" Target="../media/image28.emf"/><Relationship Id="rId2" Type="http://schemas.openxmlformats.org/officeDocument/2006/relationships/image" Target="../media/image11.emf"/><Relationship Id="rId1" Type="http://schemas.openxmlformats.org/officeDocument/2006/relationships/image" Target="../media/image24.emf"/><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hyperlink" Target="Pharmacy%20Benchmarking%20Report%202017%20-%20Definitions%20parameters.docx" TargetMode="Externa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Pharmacy%20Benchmarking%20Report%202017%20-%20Scope%20objectives.docx" TargetMode="Externa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emf"/><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6.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chart" Target="../charts/chart10.xml"/><Relationship Id="rId7" Type="http://schemas.openxmlformats.org/officeDocument/2006/relationships/image" Target="../media/image11.emf"/><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chart" Target="../charts/chart11.xml"/><Relationship Id="rId9"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3</xdr:col>
      <xdr:colOff>304799</xdr:colOff>
      <xdr:row>8</xdr:row>
      <xdr:rowOff>95250</xdr:rowOff>
    </xdr:from>
    <xdr:to>
      <xdr:col>9</xdr:col>
      <xdr:colOff>257174</xdr:colOff>
      <xdr:row>13</xdr:row>
      <xdr:rowOff>72804</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a:off x="1904999" y="1238250"/>
          <a:ext cx="3152775" cy="69192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USER GUIDE :</a:t>
          </a:r>
        </a:p>
        <a:p>
          <a:pPr algn="ctr"/>
          <a:r>
            <a:rPr lang="en-AU" sz="1100" b="1" u="none">
              <a:solidFill>
                <a:srgbClr val="002060"/>
              </a:solidFill>
              <a:latin typeface="Tahoma" pitchFamily="34" charset="0"/>
              <a:ea typeface="Tahoma" pitchFamily="34" charset="0"/>
              <a:cs typeface="Tahoma" pitchFamily="34" charset="0"/>
            </a:rPr>
            <a:t> How to navigate the Final Report</a:t>
          </a:r>
        </a:p>
      </xdr:txBody>
    </xdr:sp>
    <xdr:clientData/>
  </xdr:twoCellAnchor>
  <xdr:twoCellAnchor editAs="oneCell">
    <xdr:from>
      <xdr:col>8</xdr:col>
      <xdr:colOff>95250</xdr:colOff>
      <xdr:row>45</xdr:row>
      <xdr:rowOff>104776</xdr:rowOff>
    </xdr:from>
    <xdr:to>
      <xdr:col>13</xdr:col>
      <xdr:colOff>419039</xdr:colOff>
      <xdr:row>56</xdr:row>
      <xdr:rowOff>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62450" y="6677026"/>
          <a:ext cx="2990789" cy="1485900"/>
        </a:xfrm>
        <a:prstGeom prst="rect">
          <a:avLst/>
        </a:prstGeom>
      </xdr:spPr>
    </xdr:pic>
    <xdr:clientData/>
  </xdr:twoCellAnchor>
  <xdr:twoCellAnchor editAs="oneCell">
    <xdr:from>
      <xdr:col>0</xdr:col>
      <xdr:colOff>0</xdr:colOff>
      <xdr:row>0</xdr:row>
      <xdr:rowOff>0</xdr:rowOff>
    </xdr:from>
    <xdr:to>
      <xdr:col>5</xdr:col>
      <xdr:colOff>206226</xdr:colOff>
      <xdr:row>6</xdr:row>
      <xdr:rowOff>66675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777976" cy="923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31750</xdr:colOff>
      <xdr:row>2</xdr:row>
      <xdr:rowOff>0</xdr:rowOff>
    </xdr:from>
    <xdr:to>
      <xdr:col>10</xdr:col>
      <xdr:colOff>539752</xdr:colOff>
      <xdr:row>3</xdr:row>
      <xdr:rowOff>169333</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flipH="1">
          <a:off x="5080000" y="677333"/>
          <a:ext cx="1068919" cy="5609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275167</xdr:colOff>
      <xdr:row>17</xdr:row>
      <xdr:rowOff>95250</xdr:rowOff>
    </xdr:from>
    <xdr:to>
      <xdr:col>8</xdr:col>
      <xdr:colOff>306917</xdr:colOff>
      <xdr:row>19</xdr:row>
      <xdr:rowOff>137584</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1397000" y="3905250"/>
          <a:ext cx="3397250" cy="42333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OTC customer</a:t>
          </a:r>
        </a:p>
        <a:p>
          <a:pPr algn="ctr"/>
          <a:r>
            <a:rPr lang="en-AU" sz="1100" b="1" u="none" baseline="0">
              <a:solidFill>
                <a:srgbClr val="002060"/>
              </a:solidFill>
              <a:latin typeface="+mn-lt"/>
              <a:ea typeface="Tahoma" pitchFamily="34" charset="0"/>
              <a:cs typeface="Tahoma" pitchFamily="34" charset="0"/>
            </a:rPr>
            <a:t> e</a:t>
          </a:r>
          <a:r>
            <a:rPr lang="en-AU" sz="1100" b="1" u="none">
              <a:solidFill>
                <a:srgbClr val="002060"/>
              </a:solidFill>
              <a:latin typeface="+mn-lt"/>
              <a:ea typeface="Tahoma" pitchFamily="34" charset="0"/>
              <a:cs typeface="Tahoma" pitchFamily="34" charset="0"/>
            </a:rPr>
            <a:t>ngagement effectiveness </a:t>
          </a:r>
        </a:p>
      </xdr:txBody>
    </xdr:sp>
    <xdr:clientData/>
  </xdr:twoCellAnchor>
  <xdr:twoCellAnchor>
    <xdr:from>
      <xdr:col>2</xdr:col>
      <xdr:colOff>264588</xdr:colOff>
      <xdr:row>4</xdr:row>
      <xdr:rowOff>81337</xdr:rowOff>
    </xdr:from>
    <xdr:to>
      <xdr:col>8</xdr:col>
      <xdr:colOff>317500</xdr:colOff>
      <xdr:row>6</xdr:row>
      <xdr:rowOff>84668</xdr:rowOff>
    </xdr:to>
    <xdr:sp macro="" textlink="">
      <xdr:nvSpPr>
        <xdr:cNvPr id="14" name="Rectangle 13">
          <a:extLst>
            <a:ext uri="{FF2B5EF4-FFF2-40B4-BE49-F238E27FC236}">
              <a16:creationId xmlns:a16="http://schemas.microsoft.com/office/drawing/2014/main" id="{00000000-0008-0000-0600-00000E000000}"/>
            </a:ext>
          </a:extLst>
        </xdr:cNvPr>
        <xdr:cNvSpPr/>
      </xdr:nvSpPr>
      <xdr:spPr>
        <a:xfrm>
          <a:off x="1386421" y="1340754"/>
          <a:ext cx="3418412" cy="45841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OTC customer visit and </a:t>
          </a:r>
        </a:p>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engagement duration</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243413</xdr:colOff>
      <xdr:row>86</xdr:row>
      <xdr:rowOff>116415</xdr:rowOff>
    </xdr:from>
    <xdr:to>
      <xdr:col>8</xdr:col>
      <xdr:colOff>254000</xdr:colOff>
      <xdr:row>88</xdr:row>
      <xdr:rowOff>105830</xdr:rowOff>
    </xdr:to>
    <xdr:sp macro="" textlink="">
      <xdr:nvSpPr>
        <xdr:cNvPr id="15" name="Rectangle 14">
          <a:extLst>
            <a:ext uri="{FF2B5EF4-FFF2-40B4-BE49-F238E27FC236}">
              <a16:creationId xmlns:a16="http://schemas.microsoft.com/office/drawing/2014/main" id="{00000000-0008-0000-0600-00000F000000}"/>
            </a:ext>
          </a:extLst>
        </xdr:cNvPr>
        <xdr:cNvSpPr/>
      </xdr:nvSpPr>
      <xdr:spPr>
        <a:xfrm>
          <a:off x="1365246" y="17017998"/>
          <a:ext cx="3376087" cy="42333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OTC customer</a:t>
          </a:r>
          <a:r>
            <a:rPr lang="en-AU" sz="1100" b="1" u="none" baseline="0">
              <a:solidFill>
                <a:srgbClr val="002060"/>
              </a:solidFill>
              <a:latin typeface="+mn-lt"/>
              <a:ea typeface="Tahoma" pitchFamily="34" charset="0"/>
              <a:cs typeface="Tahoma" pitchFamily="34" charset="0"/>
            </a:rPr>
            <a:t> basket size ratio</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338668</xdr:colOff>
      <xdr:row>30</xdr:row>
      <xdr:rowOff>95251</xdr:rowOff>
    </xdr:from>
    <xdr:to>
      <xdr:col>8</xdr:col>
      <xdr:colOff>264584</xdr:colOff>
      <xdr:row>32</xdr:row>
      <xdr:rowOff>137581</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1460501" y="6381751"/>
          <a:ext cx="3291416" cy="42333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OTC customer</a:t>
          </a:r>
        </a:p>
        <a:p>
          <a:pPr algn="ctr"/>
          <a:r>
            <a:rPr lang="en-AU" sz="1100" b="1" u="none" baseline="0">
              <a:solidFill>
                <a:srgbClr val="002060"/>
              </a:solidFill>
              <a:latin typeface="+mn-lt"/>
              <a:ea typeface="Tahoma" pitchFamily="34" charset="0"/>
              <a:cs typeface="Tahoma" pitchFamily="34" charset="0"/>
            </a:rPr>
            <a:t> disen</a:t>
          </a:r>
          <a:r>
            <a:rPr lang="en-AU" sz="1100" b="1" u="none">
              <a:solidFill>
                <a:srgbClr val="002060"/>
              </a:solidFill>
              <a:latin typeface="+mn-lt"/>
              <a:ea typeface="Tahoma" pitchFamily="34" charset="0"/>
              <a:cs typeface="Tahoma" pitchFamily="34" charset="0"/>
            </a:rPr>
            <a:t>gagement split</a:t>
          </a:r>
        </a:p>
      </xdr:txBody>
    </xdr:sp>
    <xdr:clientData/>
  </xdr:twoCellAnchor>
  <xdr:twoCellAnchor>
    <xdr:from>
      <xdr:col>0</xdr:col>
      <xdr:colOff>52917</xdr:colOff>
      <xdr:row>85</xdr:row>
      <xdr:rowOff>169335</xdr:rowOff>
    </xdr:from>
    <xdr:to>
      <xdr:col>10</xdr:col>
      <xdr:colOff>306918</xdr:colOff>
      <xdr:row>102</xdr:row>
      <xdr:rowOff>84667</xdr:rowOff>
    </xdr:to>
    <xdr:sp macro="" textlink="">
      <xdr:nvSpPr>
        <xdr:cNvPr id="30" name="Rectangle 29">
          <a:extLst>
            <a:ext uri="{FF2B5EF4-FFF2-40B4-BE49-F238E27FC236}">
              <a16:creationId xmlns:a16="http://schemas.microsoft.com/office/drawing/2014/main" id="{00000000-0008-0000-0600-00001E000000}"/>
            </a:ext>
          </a:extLst>
        </xdr:cNvPr>
        <xdr:cNvSpPr/>
      </xdr:nvSpPr>
      <xdr:spPr>
        <a:xfrm>
          <a:off x="52917" y="34878435"/>
          <a:ext cx="5873751" cy="3201457"/>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52915</xdr:colOff>
      <xdr:row>3</xdr:row>
      <xdr:rowOff>0</xdr:rowOff>
    </xdr:from>
    <xdr:to>
      <xdr:col>10</xdr:col>
      <xdr:colOff>306916</xdr:colOff>
      <xdr:row>85</xdr:row>
      <xdr:rowOff>105835</xdr:rowOff>
    </xdr:to>
    <xdr:sp macro="" textlink="">
      <xdr:nvSpPr>
        <xdr:cNvPr id="35" name="Rectangle 34">
          <a:extLst>
            <a:ext uri="{FF2B5EF4-FFF2-40B4-BE49-F238E27FC236}">
              <a16:creationId xmlns:a16="http://schemas.microsoft.com/office/drawing/2014/main" id="{00000000-0008-0000-0600-000023000000}"/>
            </a:ext>
          </a:extLst>
        </xdr:cNvPr>
        <xdr:cNvSpPr/>
      </xdr:nvSpPr>
      <xdr:spPr>
        <a:xfrm>
          <a:off x="52915" y="19371735"/>
          <a:ext cx="5873751" cy="15443200"/>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285751</xdr:colOff>
      <xdr:row>43</xdr:row>
      <xdr:rowOff>42334</xdr:rowOff>
    </xdr:from>
    <xdr:to>
      <xdr:col>8</xdr:col>
      <xdr:colOff>275166</xdr:colOff>
      <xdr:row>44</xdr:row>
      <xdr:rowOff>179918</xdr:rowOff>
    </xdr:to>
    <xdr:sp macro="" textlink="">
      <xdr:nvSpPr>
        <xdr:cNvPr id="44" name="Rectangle 43">
          <a:extLst>
            <a:ext uri="{FF2B5EF4-FFF2-40B4-BE49-F238E27FC236}">
              <a16:creationId xmlns:a16="http://schemas.microsoft.com/office/drawing/2014/main" id="{00000000-0008-0000-0600-00002C000000}"/>
            </a:ext>
          </a:extLst>
        </xdr:cNvPr>
        <xdr:cNvSpPr/>
      </xdr:nvSpPr>
      <xdr:spPr>
        <a:xfrm>
          <a:off x="1407584" y="8805334"/>
          <a:ext cx="3354915" cy="32808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OTC customer proactive medicine counsel duration</a:t>
          </a:r>
          <a:endParaRPr lang="en-AU" sz="1100" b="1" u="none" baseline="0">
            <a:solidFill>
              <a:srgbClr val="002060"/>
            </a:solidFill>
            <a:latin typeface="+mn-lt"/>
            <a:ea typeface="Tahoma" pitchFamily="34" charset="0"/>
            <a:cs typeface="Tahoma" pitchFamily="34" charset="0"/>
          </a:endParaRPr>
        </a:p>
      </xdr:txBody>
    </xdr:sp>
    <xdr:clientData/>
  </xdr:twoCellAnchor>
  <xdr:twoCellAnchor>
    <xdr:from>
      <xdr:col>2</xdr:col>
      <xdr:colOff>296321</xdr:colOff>
      <xdr:row>57</xdr:row>
      <xdr:rowOff>21167</xdr:rowOff>
    </xdr:from>
    <xdr:to>
      <xdr:col>8</xdr:col>
      <xdr:colOff>285750</xdr:colOff>
      <xdr:row>59</xdr:row>
      <xdr:rowOff>105833</xdr:rowOff>
    </xdr:to>
    <xdr:sp macro="" textlink="">
      <xdr:nvSpPr>
        <xdr:cNvPr id="45" name="Rectangle 44">
          <a:extLst>
            <a:ext uri="{FF2B5EF4-FFF2-40B4-BE49-F238E27FC236}">
              <a16:creationId xmlns:a16="http://schemas.microsoft.com/office/drawing/2014/main" id="{00000000-0008-0000-0600-00002D000000}"/>
            </a:ext>
          </a:extLst>
        </xdr:cNvPr>
        <xdr:cNvSpPr/>
      </xdr:nvSpPr>
      <xdr:spPr>
        <a:xfrm>
          <a:off x="1418154" y="11525250"/>
          <a:ext cx="3354929" cy="4656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Combined OTC customer proactive health PLUS proactive solution selling duration</a:t>
          </a:r>
        </a:p>
      </xdr:txBody>
    </xdr:sp>
    <xdr:clientData/>
  </xdr:twoCellAnchor>
  <xdr:twoCellAnchor>
    <xdr:from>
      <xdr:col>2</xdr:col>
      <xdr:colOff>306918</xdr:colOff>
      <xdr:row>71</xdr:row>
      <xdr:rowOff>52918</xdr:rowOff>
    </xdr:from>
    <xdr:to>
      <xdr:col>8</xdr:col>
      <xdr:colOff>254000</xdr:colOff>
      <xdr:row>73</xdr:row>
      <xdr:rowOff>105836</xdr:rowOff>
    </xdr:to>
    <xdr:sp macro="" textlink="">
      <xdr:nvSpPr>
        <xdr:cNvPr id="46" name="Rectangle 45">
          <a:extLst>
            <a:ext uri="{FF2B5EF4-FFF2-40B4-BE49-F238E27FC236}">
              <a16:creationId xmlns:a16="http://schemas.microsoft.com/office/drawing/2014/main" id="{00000000-0008-0000-0600-00002E000000}"/>
            </a:ext>
          </a:extLst>
        </xdr:cNvPr>
        <xdr:cNvSpPr/>
      </xdr:nvSpPr>
      <xdr:spPr>
        <a:xfrm>
          <a:off x="1428751" y="14181668"/>
          <a:ext cx="3312582" cy="43391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US" sz="1100" b="1" baseline="0">
              <a:solidFill>
                <a:srgbClr val="002060"/>
              </a:solidFill>
              <a:effectLst/>
              <a:latin typeface="+mn-lt"/>
              <a:ea typeface="+mn-ea"/>
              <a:cs typeface="+mn-cs"/>
            </a:rPr>
            <a:t>OTC customer proactive medicines counsel </a:t>
          </a:r>
          <a:r>
            <a:rPr lang="en-US" sz="1100" b="1" u="none" baseline="0">
              <a:solidFill>
                <a:srgbClr val="002060"/>
              </a:solidFill>
              <a:effectLst/>
              <a:latin typeface="+mn-lt"/>
              <a:ea typeface="+mn-ea"/>
              <a:cs typeface="+mn-cs"/>
            </a:rPr>
            <a:t>frequency</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0</xdr:col>
      <xdr:colOff>560916</xdr:colOff>
      <xdr:row>7</xdr:row>
      <xdr:rowOff>21168</xdr:rowOff>
    </xdr:from>
    <xdr:to>
      <xdr:col>9</xdr:col>
      <xdr:colOff>507999</xdr:colOff>
      <xdr:row>16</xdr:row>
      <xdr:rowOff>105834</xdr:rowOff>
    </xdr:to>
    <xdr:graphicFrame macro="">
      <xdr:nvGraphicFramePr>
        <xdr:cNvPr id="51" name="Chart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497417</xdr:colOff>
      <xdr:row>20</xdr:row>
      <xdr:rowOff>9524</xdr:rowOff>
    </xdr:from>
    <xdr:to>
      <xdr:col>10</xdr:col>
      <xdr:colOff>52917</xdr:colOff>
      <xdr:row>29</xdr:row>
      <xdr:rowOff>84667</xdr:rowOff>
    </xdr:to>
    <xdr:graphicFrame macro="">
      <xdr:nvGraphicFramePr>
        <xdr:cNvPr id="52" name="Chart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455084</xdr:colOff>
      <xdr:row>32</xdr:row>
      <xdr:rowOff>179917</xdr:rowOff>
    </xdr:from>
    <xdr:to>
      <xdr:col>10</xdr:col>
      <xdr:colOff>95249</xdr:colOff>
      <xdr:row>42</xdr:row>
      <xdr:rowOff>63499</xdr:rowOff>
    </xdr:to>
    <xdr:graphicFrame macro="">
      <xdr:nvGraphicFramePr>
        <xdr:cNvPr id="53" name="Chart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161935</xdr:colOff>
      <xdr:row>12</xdr:row>
      <xdr:rowOff>81962</xdr:rowOff>
    </xdr:from>
    <xdr:to>
      <xdr:col>9</xdr:col>
      <xdr:colOff>530598</xdr:colOff>
      <xdr:row>13</xdr:row>
      <xdr:rowOff>111123</xdr:rowOff>
    </xdr:to>
    <xdr:sp macro="" textlink="Data!G84">
      <xdr:nvSpPr>
        <xdr:cNvPr id="67" name="TextBox 1">
          <a:extLst>
            <a:ext uri="{FF2B5EF4-FFF2-40B4-BE49-F238E27FC236}">
              <a16:creationId xmlns:a16="http://schemas.microsoft.com/office/drawing/2014/main" id="{00000000-0008-0000-0600-000043000000}"/>
            </a:ext>
          </a:extLst>
        </xdr:cNvPr>
        <xdr:cNvSpPr txBox="1"/>
      </xdr:nvSpPr>
      <xdr:spPr>
        <a:xfrm>
          <a:off x="4657735" y="21265562"/>
          <a:ext cx="930638" cy="219661"/>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92419A1F-A7D2-47EC-9647-250B6A7EE70C}" type="TxLink">
            <a:rPr lang="en-US" sz="900" b="0" i="0" u="none" strike="noStrike">
              <a:solidFill>
                <a:srgbClr val="000000"/>
              </a:solidFill>
              <a:latin typeface="Calibri"/>
              <a:sym typeface="Symbol"/>
            </a:rPr>
            <a:pPr algn="ctr"/>
            <a:t>2:16</a:t>
          </a:fld>
          <a:endParaRPr lang="en-AU" sz="500">
            <a:sym typeface="Symbol"/>
          </a:endParaRPr>
        </a:p>
      </xdr:txBody>
    </xdr:sp>
    <xdr:clientData/>
  </xdr:twoCellAnchor>
  <xdr:twoCellAnchor>
    <xdr:from>
      <xdr:col>8</xdr:col>
      <xdr:colOff>169346</xdr:colOff>
      <xdr:row>9</xdr:row>
      <xdr:rowOff>169334</xdr:rowOff>
    </xdr:from>
    <xdr:to>
      <xdr:col>9</xdr:col>
      <xdr:colOff>510492</xdr:colOff>
      <xdr:row>11</xdr:row>
      <xdr:rowOff>7995</xdr:rowOff>
    </xdr:to>
    <xdr:sp macro="" textlink="Data!G85">
      <xdr:nvSpPr>
        <xdr:cNvPr id="68" name="TextBox 1">
          <a:extLst>
            <a:ext uri="{FF2B5EF4-FFF2-40B4-BE49-F238E27FC236}">
              <a16:creationId xmlns:a16="http://schemas.microsoft.com/office/drawing/2014/main" id="{00000000-0008-0000-0600-000044000000}"/>
            </a:ext>
          </a:extLst>
        </xdr:cNvPr>
        <xdr:cNvSpPr txBox="1"/>
      </xdr:nvSpPr>
      <xdr:spPr>
        <a:xfrm>
          <a:off x="4665146" y="20781434"/>
          <a:ext cx="903121" cy="219661"/>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4DDE2E27-5C26-4D1F-8834-CE2E90517F00}" type="TxLink">
            <a:rPr lang="en-US" sz="900" b="0" i="0" u="none" strike="noStrike">
              <a:solidFill>
                <a:srgbClr val="000000"/>
              </a:solidFill>
              <a:latin typeface="Calibri"/>
              <a:sym typeface="Symbol"/>
            </a:rPr>
            <a:pPr algn="ctr"/>
            <a:t>3:16</a:t>
          </a:fld>
          <a:endParaRPr lang="en-AU" sz="500">
            <a:sym typeface="Symbol"/>
          </a:endParaRPr>
        </a:p>
      </xdr:txBody>
    </xdr:sp>
    <xdr:clientData/>
  </xdr:twoCellAnchor>
  <xdr:twoCellAnchor>
    <xdr:from>
      <xdr:col>3</xdr:col>
      <xdr:colOff>201080</xdr:colOff>
      <xdr:row>15</xdr:row>
      <xdr:rowOff>118381</xdr:rowOff>
    </xdr:from>
    <xdr:to>
      <xdr:col>3</xdr:col>
      <xdr:colOff>530025</xdr:colOff>
      <xdr:row>15</xdr:row>
      <xdr:rowOff>118384</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1883830" y="3547381"/>
          <a:ext cx="328945" cy="3"/>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211663</xdr:colOff>
      <xdr:row>15</xdr:row>
      <xdr:rowOff>116420</xdr:rowOff>
    </xdr:from>
    <xdr:to>
      <xdr:col>3</xdr:col>
      <xdr:colOff>211663</xdr:colOff>
      <xdr:row>17</xdr:row>
      <xdr:rowOff>33728</xdr:rowOff>
    </xdr:to>
    <xdr:cxnSp macro="">
      <xdr:nvCxnSpPr>
        <xdr:cNvPr id="70" name="Straight Arrow Connector 69">
          <a:extLst>
            <a:ext uri="{FF2B5EF4-FFF2-40B4-BE49-F238E27FC236}">
              <a16:creationId xmlns:a16="http://schemas.microsoft.com/office/drawing/2014/main" id="{00000000-0008-0000-0600-000046000000}"/>
            </a:ext>
          </a:extLst>
        </xdr:cNvPr>
        <xdr:cNvCxnSpPr/>
      </xdr:nvCxnSpPr>
      <xdr:spPr>
        <a:xfrm>
          <a:off x="1894413" y="3545420"/>
          <a:ext cx="0" cy="29830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412750</xdr:colOff>
      <xdr:row>15</xdr:row>
      <xdr:rowOff>105833</xdr:rowOff>
    </xdr:from>
    <xdr:to>
      <xdr:col>10</xdr:col>
      <xdr:colOff>105817</xdr:colOff>
      <xdr:row>15</xdr:row>
      <xdr:rowOff>105836</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a:off x="3778250" y="3534833"/>
          <a:ext cx="1936734" cy="3"/>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104501</xdr:colOff>
      <xdr:row>15</xdr:row>
      <xdr:rowOff>95252</xdr:rowOff>
    </xdr:from>
    <xdr:to>
      <xdr:col>10</xdr:col>
      <xdr:colOff>127000</xdr:colOff>
      <xdr:row>32</xdr:row>
      <xdr:rowOff>63500</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a:off x="5713668" y="3524252"/>
          <a:ext cx="22499" cy="320674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444501</xdr:colOff>
      <xdr:row>20</xdr:row>
      <xdr:rowOff>52917</xdr:rowOff>
    </xdr:from>
    <xdr:to>
      <xdr:col>9</xdr:col>
      <xdr:colOff>243418</xdr:colOff>
      <xdr:row>21</xdr:row>
      <xdr:rowOff>42334</xdr:rowOff>
    </xdr:to>
    <xdr:sp macro="" textlink="">
      <xdr:nvSpPr>
        <xdr:cNvPr id="84" name="TextBox 83">
          <a:extLst>
            <a:ext uri="{FF2B5EF4-FFF2-40B4-BE49-F238E27FC236}">
              <a16:creationId xmlns:a16="http://schemas.microsoft.com/office/drawing/2014/main" id="{00000000-0008-0000-0600-000054000000}"/>
            </a:ext>
          </a:extLst>
        </xdr:cNvPr>
        <xdr:cNvSpPr txBox="1"/>
      </xdr:nvSpPr>
      <xdr:spPr>
        <a:xfrm>
          <a:off x="4378326" y="22760517"/>
          <a:ext cx="922867" cy="179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900" b="1"/>
            <a:t>time (min:sec)</a:t>
          </a:r>
        </a:p>
      </xdr:txBody>
    </xdr:sp>
    <xdr:clientData/>
  </xdr:twoCellAnchor>
  <xdr:twoCellAnchor>
    <xdr:from>
      <xdr:col>0</xdr:col>
      <xdr:colOff>127001</xdr:colOff>
      <xdr:row>0</xdr:row>
      <xdr:rowOff>158750</xdr:rowOff>
    </xdr:from>
    <xdr:to>
      <xdr:col>10</xdr:col>
      <xdr:colOff>201083</xdr:colOff>
      <xdr:row>2</xdr:row>
      <xdr:rowOff>190500</xdr:rowOff>
    </xdr:to>
    <xdr:sp macro="" textlink="">
      <xdr:nvSpPr>
        <xdr:cNvPr id="26" name="Rectangle 25">
          <a:extLst>
            <a:ext uri="{FF2B5EF4-FFF2-40B4-BE49-F238E27FC236}">
              <a16:creationId xmlns:a16="http://schemas.microsoft.com/office/drawing/2014/main" id="{00000000-0008-0000-0600-00001A000000}"/>
            </a:ext>
          </a:extLst>
        </xdr:cNvPr>
        <xdr:cNvSpPr/>
      </xdr:nvSpPr>
      <xdr:spPr>
        <a:xfrm>
          <a:off x="127001" y="158750"/>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OTC CUSTOMER ENGAGEMENT AND SOLUTION EFFECTIVENESS </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11</xdr:col>
      <xdr:colOff>10583</xdr:colOff>
      <xdr:row>20</xdr:row>
      <xdr:rowOff>46568</xdr:rowOff>
    </xdr:from>
    <xdr:to>
      <xdr:col>17</xdr:col>
      <xdr:colOff>190500</xdr:colOff>
      <xdr:row>29</xdr:row>
      <xdr:rowOff>127001</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550333</xdr:colOff>
      <xdr:row>22</xdr:row>
      <xdr:rowOff>10584</xdr:rowOff>
    </xdr:from>
    <xdr:to>
      <xdr:col>11</xdr:col>
      <xdr:colOff>21167</xdr:colOff>
      <xdr:row>22</xdr:row>
      <xdr:rowOff>137583</xdr:rowOff>
    </xdr:to>
    <xdr:sp macro="" textlink="">
      <xdr:nvSpPr>
        <xdr:cNvPr id="29" name="Left-Right Arrow 28">
          <a:extLst>
            <a:ext uri="{FF2B5EF4-FFF2-40B4-BE49-F238E27FC236}">
              <a16:creationId xmlns:a16="http://schemas.microsoft.com/office/drawing/2014/main" id="{00000000-0008-0000-0600-00001D000000}"/>
            </a:ext>
          </a:extLst>
        </xdr:cNvPr>
        <xdr:cNvSpPr/>
      </xdr:nvSpPr>
      <xdr:spPr>
        <a:xfrm>
          <a:off x="5598583" y="4773084"/>
          <a:ext cx="592667" cy="126999"/>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474566</xdr:colOff>
      <xdr:row>74</xdr:row>
      <xdr:rowOff>142906</xdr:rowOff>
    </xdr:from>
    <xdr:to>
      <xdr:col>8</xdr:col>
      <xdr:colOff>237068</xdr:colOff>
      <xdr:row>85</xdr:row>
      <xdr:rowOff>38101</xdr:rowOff>
    </xdr:to>
    <xdr:pic>
      <xdr:nvPicPr>
        <xdr:cNvPr id="16404" name="M.14">
          <a:extLst>
            <a:ext uri="{FF2B5EF4-FFF2-40B4-BE49-F238E27FC236}">
              <a16:creationId xmlns:a16="http://schemas.microsoft.com/office/drawing/2014/main" id="{00000000-0008-0000-0600-0000144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2333"/>
        <a:stretch/>
      </xdr:blipFill>
      <xdr:spPr bwMode="auto">
        <a:xfrm>
          <a:off x="1596399" y="14843156"/>
          <a:ext cx="3128002" cy="190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350386</xdr:colOff>
      <xdr:row>91</xdr:row>
      <xdr:rowOff>27519</xdr:rowOff>
    </xdr:from>
    <xdr:to>
      <xdr:col>8</xdr:col>
      <xdr:colOff>307322</xdr:colOff>
      <xdr:row>100</xdr:row>
      <xdr:rowOff>188385</xdr:rowOff>
    </xdr:to>
    <xdr:pic>
      <xdr:nvPicPr>
        <xdr:cNvPr id="66" name="M.16">
          <a:extLst>
            <a:ext uri="{FF2B5EF4-FFF2-40B4-BE49-F238E27FC236}">
              <a16:creationId xmlns:a16="http://schemas.microsoft.com/office/drawing/2014/main" id="{00000000-0008-0000-0600-000042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45998"/>
        <a:stretch/>
      </xdr:blipFill>
      <xdr:spPr bwMode="auto">
        <a:xfrm>
          <a:off x="1472219" y="17934519"/>
          <a:ext cx="3322436" cy="1875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15302</xdr:colOff>
      <xdr:row>46</xdr:row>
      <xdr:rowOff>63500</xdr:rowOff>
    </xdr:from>
    <xdr:to>
      <xdr:col>8</xdr:col>
      <xdr:colOff>105834</xdr:colOff>
      <xdr:row>56</xdr:row>
      <xdr:rowOff>118533</xdr:rowOff>
    </xdr:to>
    <xdr:pic>
      <xdr:nvPicPr>
        <xdr:cNvPr id="16393" name="M.12">
          <a:extLst>
            <a:ext uri="{FF2B5EF4-FFF2-40B4-BE49-F238E27FC236}">
              <a16:creationId xmlns:a16="http://schemas.microsoft.com/office/drawing/2014/main" id="{00000000-0008-0000-0600-0000094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42323"/>
        <a:stretch/>
      </xdr:blipFill>
      <xdr:spPr bwMode="auto">
        <a:xfrm>
          <a:off x="1698052" y="9514417"/>
          <a:ext cx="2895115" cy="1917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192832</xdr:colOff>
      <xdr:row>61</xdr:row>
      <xdr:rowOff>169440</xdr:rowOff>
    </xdr:from>
    <xdr:to>
      <xdr:col>8</xdr:col>
      <xdr:colOff>147533</xdr:colOff>
      <xdr:row>70</xdr:row>
      <xdr:rowOff>86783</xdr:rowOff>
    </xdr:to>
    <xdr:pic>
      <xdr:nvPicPr>
        <xdr:cNvPr id="18507" name="M.13">
          <a:extLst>
            <a:ext uri="{FF2B5EF4-FFF2-40B4-BE49-F238E27FC236}">
              <a16:creationId xmlns:a16="http://schemas.microsoft.com/office/drawing/2014/main" id="{00000000-0008-0000-0600-00004B48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 b="43552"/>
        <a:stretch/>
      </xdr:blipFill>
      <xdr:spPr bwMode="auto">
        <a:xfrm>
          <a:off x="1314665" y="12393190"/>
          <a:ext cx="3320201" cy="1631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0.7943</cdr:x>
      <cdr:y>0.13069</cdr:y>
    </cdr:from>
    <cdr:to>
      <cdr:x>0.97026</cdr:x>
      <cdr:y>0.24305</cdr:y>
    </cdr:to>
    <cdr:sp macro="" textlink="">
      <cdr:nvSpPr>
        <cdr:cNvPr id="2" name="TextBox 1"/>
        <cdr:cNvSpPr txBox="1"/>
      </cdr:nvSpPr>
      <cdr:spPr>
        <a:xfrm xmlns:a="http://schemas.openxmlformats.org/drawingml/2006/main">
          <a:off x="4127500" y="233893"/>
          <a:ext cx="914400" cy="201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dr:relSizeAnchor xmlns:cdr="http://schemas.openxmlformats.org/drawingml/2006/chartDrawing">
    <cdr:from>
      <cdr:x>0.82403</cdr:x>
      <cdr:y>0.07156</cdr:y>
    </cdr:from>
    <cdr:to>
      <cdr:x>1</cdr:x>
      <cdr:y>0.17209</cdr:y>
    </cdr:to>
    <cdr:sp macro="" textlink="">
      <cdr:nvSpPr>
        <cdr:cNvPr id="3" name="TextBox 2"/>
        <cdr:cNvSpPr txBox="1"/>
      </cdr:nvSpPr>
      <cdr:spPr>
        <a:xfrm xmlns:a="http://schemas.openxmlformats.org/drawingml/2006/main">
          <a:off x="4282017" y="128059"/>
          <a:ext cx="914400" cy="1799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userShapes>
</file>

<file path=xl/drawings/drawing12.xml><?xml version="1.0" encoding="utf-8"?>
<c:userShapes xmlns:c="http://schemas.openxmlformats.org/drawingml/2006/chart">
  <cdr:relSizeAnchor xmlns:cdr="http://schemas.openxmlformats.org/drawingml/2006/chartDrawing">
    <cdr:from>
      <cdr:x>0.78661</cdr:x>
      <cdr:y>0.00592</cdr:y>
    </cdr:from>
    <cdr:to>
      <cdr:x>1</cdr:x>
      <cdr:y>0.11243</cdr:y>
    </cdr:to>
    <cdr:sp macro="" textlink="">
      <cdr:nvSpPr>
        <cdr:cNvPr id="2" name="TextBox 1"/>
        <cdr:cNvSpPr txBox="1"/>
      </cdr:nvSpPr>
      <cdr:spPr>
        <a:xfrm xmlns:a="http://schemas.openxmlformats.org/drawingml/2006/main">
          <a:off x="3979333" y="10583"/>
          <a:ext cx="107950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AU" sz="900" b="1"/>
            <a:t>time (min:sec)</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366187</xdr:colOff>
      <xdr:row>61</xdr:row>
      <xdr:rowOff>53979</xdr:rowOff>
    </xdr:from>
    <xdr:to>
      <xdr:col>7</xdr:col>
      <xdr:colOff>307978</xdr:colOff>
      <xdr:row>75</xdr:row>
      <xdr:rowOff>46570</xdr:rowOff>
    </xdr:to>
    <xdr:sp macro="" textlink="">
      <xdr:nvSpPr>
        <xdr:cNvPr id="21117" name="M.35.2">
          <a:extLst>
            <a:ext uri="{FF2B5EF4-FFF2-40B4-BE49-F238E27FC236}">
              <a16:creationId xmlns:a16="http://schemas.microsoft.com/office/drawing/2014/main" id="{00000000-0008-0000-0700-00007D520000}"/>
            </a:ext>
          </a:extLst>
        </xdr:cNvPr>
        <xdr:cNvSpPr/>
      </xdr:nvSpPr>
      <xdr:spPr>
        <a:xfrm>
          <a:off x="1416054" y="12076646"/>
          <a:ext cx="2566457" cy="2566457"/>
        </a:xfrm>
        <a:prstGeom prst="ellipse">
          <a:avLst/>
        </a:prstGeom>
        <a:gradFill flip="none" rotWithShape="1">
          <a:gsLst>
            <a:gs pos="0">
              <a:srgbClr val="00FFCC"/>
            </a:gs>
            <a:gs pos="100000">
              <a:srgbClr val="0099FF"/>
            </a:gs>
          </a:gsLst>
          <a:lin ang="2700000" scaled="1"/>
          <a:tileRect/>
        </a:gradFill>
        <a:ln w="25400" cap="flat" cmpd="sng" algn="ctr">
          <a:solidFill>
            <a:schemeClr val="accent1">
              <a:shade val="50000"/>
              <a:alpha val="0"/>
            </a:schemeClr>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52917</xdr:colOff>
      <xdr:row>17</xdr:row>
      <xdr:rowOff>170637</xdr:rowOff>
    </xdr:from>
    <xdr:to>
      <xdr:col>8</xdr:col>
      <xdr:colOff>296334</xdr:colOff>
      <xdr:row>19</xdr:row>
      <xdr:rowOff>158751</xdr:rowOff>
    </xdr:to>
    <xdr:sp macro="" textlink="">
      <xdr:nvSpPr>
        <xdr:cNvPr id="4" name="Rectangle 3">
          <a:extLst>
            <a:ext uri="{FF2B5EF4-FFF2-40B4-BE49-F238E27FC236}">
              <a16:creationId xmlns:a16="http://schemas.microsoft.com/office/drawing/2014/main" id="{00000000-0008-0000-0700-000004000000}"/>
            </a:ext>
          </a:extLst>
        </xdr:cNvPr>
        <xdr:cNvSpPr/>
      </xdr:nvSpPr>
      <xdr:spPr>
        <a:xfrm>
          <a:off x="1174750" y="3980637"/>
          <a:ext cx="3608917" cy="36911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Health category aisle customer </a:t>
          </a:r>
        </a:p>
        <a:p>
          <a:pPr algn="ctr"/>
          <a:r>
            <a:rPr lang="en-AU" sz="1100" b="1" u="none" baseline="0">
              <a:solidFill>
                <a:srgbClr val="002060"/>
              </a:solidFill>
              <a:latin typeface="+mn-lt"/>
              <a:ea typeface="Tahoma" pitchFamily="34" charset="0"/>
              <a:cs typeface="Tahoma" pitchFamily="34" charset="0"/>
            </a:rPr>
            <a:t> e</a:t>
          </a:r>
          <a:r>
            <a:rPr lang="en-AU" sz="1100" b="1" u="none">
              <a:solidFill>
                <a:srgbClr val="002060"/>
              </a:solidFill>
              <a:latin typeface="+mn-lt"/>
              <a:ea typeface="Tahoma" pitchFamily="34" charset="0"/>
              <a:cs typeface="Tahoma" pitchFamily="34" charset="0"/>
            </a:rPr>
            <a:t>ngagement effectiveness </a:t>
          </a:r>
        </a:p>
      </xdr:txBody>
    </xdr:sp>
    <xdr:clientData/>
  </xdr:twoCellAnchor>
  <xdr:twoCellAnchor>
    <xdr:from>
      <xdr:col>2</xdr:col>
      <xdr:colOff>285750</xdr:colOff>
      <xdr:row>4</xdr:row>
      <xdr:rowOff>187170</xdr:rowOff>
    </xdr:from>
    <xdr:to>
      <xdr:col>8</xdr:col>
      <xdr:colOff>391584</xdr:colOff>
      <xdr:row>7</xdr:row>
      <xdr:rowOff>1</xdr:rowOff>
    </xdr:to>
    <xdr:sp macro="" textlink="">
      <xdr:nvSpPr>
        <xdr:cNvPr id="6" name="Rectangle 5">
          <a:extLst>
            <a:ext uri="{FF2B5EF4-FFF2-40B4-BE49-F238E27FC236}">
              <a16:creationId xmlns:a16="http://schemas.microsoft.com/office/drawing/2014/main" id="{00000000-0008-0000-0700-000006000000}"/>
            </a:ext>
          </a:extLst>
        </xdr:cNvPr>
        <xdr:cNvSpPr/>
      </xdr:nvSpPr>
      <xdr:spPr>
        <a:xfrm>
          <a:off x="1407583" y="1446587"/>
          <a:ext cx="3471334" cy="45841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Health category aisle customer </a:t>
          </a:r>
        </a:p>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visit and engagement duration</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370414</xdr:colOff>
      <xdr:row>87</xdr:row>
      <xdr:rowOff>0</xdr:rowOff>
    </xdr:from>
    <xdr:to>
      <xdr:col>8</xdr:col>
      <xdr:colOff>10583</xdr:colOff>
      <xdr:row>88</xdr:row>
      <xdr:rowOff>179915</xdr:rowOff>
    </xdr:to>
    <xdr:sp macro="" textlink="">
      <xdr:nvSpPr>
        <xdr:cNvPr id="7" name="Rectangle 6">
          <a:extLst>
            <a:ext uri="{FF2B5EF4-FFF2-40B4-BE49-F238E27FC236}">
              <a16:creationId xmlns:a16="http://schemas.microsoft.com/office/drawing/2014/main" id="{00000000-0008-0000-0700-000007000000}"/>
            </a:ext>
          </a:extLst>
        </xdr:cNvPr>
        <xdr:cNvSpPr/>
      </xdr:nvSpPr>
      <xdr:spPr>
        <a:xfrm>
          <a:off x="1492247" y="17092083"/>
          <a:ext cx="3005669" cy="42333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Health category aisle customer </a:t>
          </a:r>
          <a:endParaRPr lang="en-AU">
            <a:solidFill>
              <a:srgbClr val="002060"/>
            </a:solidFill>
            <a:effectLst/>
          </a:endParaRPr>
        </a:p>
        <a:p>
          <a:pPr algn="ctr"/>
          <a:r>
            <a:rPr lang="en-AU" sz="1100" b="1" u="none" baseline="0">
              <a:solidFill>
                <a:srgbClr val="002060"/>
              </a:solidFill>
              <a:latin typeface="+mn-lt"/>
              <a:ea typeface="Tahoma" pitchFamily="34" charset="0"/>
              <a:cs typeface="Tahoma" pitchFamily="34" charset="0"/>
            </a:rPr>
            <a:t>basket size ratio</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47627</xdr:colOff>
      <xdr:row>30</xdr:row>
      <xdr:rowOff>127000</xdr:rowOff>
    </xdr:from>
    <xdr:to>
      <xdr:col>8</xdr:col>
      <xdr:colOff>338666</xdr:colOff>
      <xdr:row>32</xdr:row>
      <xdr:rowOff>126997</xdr:rowOff>
    </xdr:to>
    <xdr:sp macro="" textlink="">
      <xdr:nvSpPr>
        <xdr:cNvPr id="8" name="Rectangle 7">
          <a:extLst>
            <a:ext uri="{FF2B5EF4-FFF2-40B4-BE49-F238E27FC236}">
              <a16:creationId xmlns:a16="http://schemas.microsoft.com/office/drawing/2014/main" id="{00000000-0008-0000-0700-000008000000}"/>
            </a:ext>
          </a:extLst>
        </xdr:cNvPr>
        <xdr:cNvSpPr/>
      </xdr:nvSpPr>
      <xdr:spPr>
        <a:xfrm>
          <a:off x="1169460" y="6413500"/>
          <a:ext cx="3656539" cy="38099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Health category aisle customer </a:t>
          </a:r>
        </a:p>
        <a:p>
          <a:pPr algn="ctr"/>
          <a:r>
            <a:rPr lang="en-AU" sz="1100" b="1" u="none" baseline="0">
              <a:solidFill>
                <a:srgbClr val="002060"/>
              </a:solidFill>
              <a:latin typeface="+mn-lt"/>
              <a:ea typeface="Tahoma" pitchFamily="34" charset="0"/>
              <a:cs typeface="Tahoma" pitchFamily="34" charset="0"/>
            </a:rPr>
            <a:t> disen</a:t>
          </a:r>
          <a:r>
            <a:rPr lang="en-AU" sz="1100" b="1" u="none">
              <a:solidFill>
                <a:srgbClr val="002060"/>
              </a:solidFill>
              <a:latin typeface="+mn-lt"/>
              <a:ea typeface="Tahoma" pitchFamily="34" charset="0"/>
              <a:cs typeface="Tahoma" pitchFamily="34" charset="0"/>
            </a:rPr>
            <a:t>gagement split</a:t>
          </a:r>
        </a:p>
      </xdr:txBody>
    </xdr:sp>
    <xdr:clientData/>
  </xdr:twoCellAnchor>
  <xdr:twoCellAnchor>
    <xdr:from>
      <xdr:col>0</xdr:col>
      <xdr:colOff>52917</xdr:colOff>
      <xdr:row>85</xdr:row>
      <xdr:rowOff>169335</xdr:rowOff>
    </xdr:from>
    <xdr:to>
      <xdr:col>10</xdr:col>
      <xdr:colOff>306918</xdr:colOff>
      <xdr:row>102</xdr:row>
      <xdr:rowOff>84667</xdr:rowOff>
    </xdr:to>
    <xdr:sp macro="" textlink="">
      <xdr:nvSpPr>
        <xdr:cNvPr id="9" name="Rectangle 8">
          <a:extLst>
            <a:ext uri="{FF2B5EF4-FFF2-40B4-BE49-F238E27FC236}">
              <a16:creationId xmlns:a16="http://schemas.microsoft.com/office/drawing/2014/main" id="{00000000-0008-0000-0700-000009000000}"/>
            </a:ext>
          </a:extLst>
        </xdr:cNvPr>
        <xdr:cNvSpPr/>
      </xdr:nvSpPr>
      <xdr:spPr>
        <a:xfrm>
          <a:off x="52917" y="16371360"/>
          <a:ext cx="5873751" cy="3201457"/>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52915</xdr:colOff>
      <xdr:row>3</xdr:row>
      <xdr:rowOff>0</xdr:rowOff>
    </xdr:from>
    <xdr:to>
      <xdr:col>10</xdr:col>
      <xdr:colOff>306916</xdr:colOff>
      <xdr:row>85</xdr:row>
      <xdr:rowOff>105835</xdr:rowOff>
    </xdr:to>
    <xdr:sp macro="" textlink="">
      <xdr:nvSpPr>
        <xdr:cNvPr id="10" name="Rectangle 9">
          <a:extLst>
            <a:ext uri="{FF2B5EF4-FFF2-40B4-BE49-F238E27FC236}">
              <a16:creationId xmlns:a16="http://schemas.microsoft.com/office/drawing/2014/main" id="{00000000-0008-0000-0700-00000A000000}"/>
            </a:ext>
          </a:extLst>
        </xdr:cNvPr>
        <xdr:cNvSpPr/>
      </xdr:nvSpPr>
      <xdr:spPr>
        <a:xfrm>
          <a:off x="52915" y="733425"/>
          <a:ext cx="5873751" cy="15574435"/>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179924</xdr:colOff>
      <xdr:row>43</xdr:row>
      <xdr:rowOff>2</xdr:rowOff>
    </xdr:from>
    <xdr:to>
      <xdr:col>8</xdr:col>
      <xdr:colOff>31750</xdr:colOff>
      <xdr:row>45</xdr:row>
      <xdr:rowOff>74085</xdr:rowOff>
    </xdr:to>
    <xdr:sp macro="" textlink="">
      <xdr:nvSpPr>
        <xdr:cNvPr id="12" name="Rectangle 11">
          <a:extLst>
            <a:ext uri="{FF2B5EF4-FFF2-40B4-BE49-F238E27FC236}">
              <a16:creationId xmlns:a16="http://schemas.microsoft.com/office/drawing/2014/main" id="{00000000-0008-0000-0700-00000C000000}"/>
            </a:ext>
          </a:extLst>
        </xdr:cNvPr>
        <xdr:cNvSpPr/>
      </xdr:nvSpPr>
      <xdr:spPr>
        <a:xfrm>
          <a:off x="1301757" y="8763002"/>
          <a:ext cx="3217326" cy="5715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Health category aisle customer proactive medicine counsel duration</a:t>
          </a:r>
          <a:endParaRPr lang="en-AU" sz="1100" b="1" u="none" baseline="0">
            <a:solidFill>
              <a:srgbClr val="002060"/>
            </a:solidFill>
            <a:latin typeface="+mn-lt"/>
            <a:ea typeface="Tahoma" pitchFamily="34" charset="0"/>
            <a:cs typeface="Tahoma" pitchFamily="34" charset="0"/>
          </a:endParaRPr>
        </a:p>
      </xdr:txBody>
    </xdr:sp>
    <xdr:clientData/>
  </xdr:twoCellAnchor>
  <xdr:twoCellAnchor>
    <xdr:from>
      <xdr:col>2</xdr:col>
      <xdr:colOff>243417</xdr:colOff>
      <xdr:row>57</xdr:row>
      <xdr:rowOff>2</xdr:rowOff>
    </xdr:from>
    <xdr:to>
      <xdr:col>8</xdr:col>
      <xdr:colOff>148167</xdr:colOff>
      <xdr:row>59</xdr:row>
      <xdr:rowOff>127000</xdr:rowOff>
    </xdr:to>
    <xdr:sp macro="" textlink="">
      <xdr:nvSpPr>
        <xdr:cNvPr id="13" name="Rectangle 12">
          <a:extLst>
            <a:ext uri="{FF2B5EF4-FFF2-40B4-BE49-F238E27FC236}">
              <a16:creationId xmlns:a16="http://schemas.microsoft.com/office/drawing/2014/main" id="{00000000-0008-0000-0700-00000D000000}"/>
            </a:ext>
          </a:extLst>
        </xdr:cNvPr>
        <xdr:cNvSpPr/>
      </xdr:nvSpPr>
      <xdr:spPr>
        <a:xfrm>
          <a:off x="1365250" y="11504085"/>
          <a:ext cx="3270250" cy="50799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Combined Health category aisle customer  proactive health PLUS proactive solution selling duration</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179917</xdr:colOff>
      <xdr:row>71</xdr:row>
      <xdr:rowOff>10584</xdr:rowOff>
    </xdr:from>
    <xdr:to>
      <xdr:col>7</xdr:col>
      <xdr:colOff>539750</xdr:colOff>
      <xdr:row>73</xdr:row>
      <xdr:rowOff>105836</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1301750" y="14139334"/>
          <a:ext cx="3164417" cy="47625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Health category aisle customer </a:t>
          </a:r>
          <a:endParaRPr lang="en-AU">
            <a:solidFill>
              <a:srgbClr val="002060"/>
            </a:solidFill>
            <a:effectLst/>
          </a:endParaRPr>
        </a:p>
        <a:p>
          <a:pPr algn="ctr"/>
          <a:r>
            <a:rPr lang="en-US" sz="1100" b="1" baseline="0">
              <a:solidFill>
                <a:srgbClr val="002060"/>
              </a:solidFill>
              <a:effectLst/>
              <a:latin typeface="+mn-lt"/>
              <a:ea typeface="+mn-ea"/>
              <a:cs typeface="+mn-cs"/>
            </a:rPr>
            <a:t>proactive medicines counsel f</a:t>
          </a:r>
          <a:r>
            <a:rPr lang="en-US" sz="1100" b="1" u="none" baseline="0">
              <a:solidFill>
                <a:srgbClr val="002060"/>
              </a:solidFill>
              <a:effectLst/>
              <a:latin typeface="+mn-lt"/>
              <a:ea typeface="+mn-ea"/>
              <a:cs typeface="+mn-cs"/>
            </a:rPr>
            <a:t>requency</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0</xdr:col>
      <xdr:colOff>423333</xdr:colOff>
      <xdr:row>7</xdr:row>
      <xdr:rowOff>63502</xdr:rowOff>
    </xdr:from>
    <xdr:to>
      <xdr:col>9</xdr:col>
      <xdr:colOff>550332</xdr:colOff>
      <xdr:row>16</xdr:row>
      <xdr:rowOff>148168</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20</xdr:row>
      <xdr:rowOff>62441</xdr:rowOff>
    </xdr:from>
    <xdr:to>
      <xdr:col>10</xdr:col>
      <xdr:colOff>74084</xdr:colOff>
      <xdr:row>29</xdr:row>
      <xdr:rowOff>137584</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476250</xdr:colOff>
      <xdr:row>33</xdr:row>
      <xdr:rowOff>31751</xdr:rowOff>
    </xdr:from>
    <xdr:to>
      <xdr:col>10</xdr:col>
      <xdr:colOff>84666</xdr:colOff>
      <xdr:row>42</xdr:row>
      <xdr:rowOff>105833</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161935</xdr:colOff>
      <xdr:row>12</xdr:row>
      <xdr:rowOff>81962</xdr:rowOff>
    </xdr:from>
    <xdr:to>
      <xdr:col>9</xdr:col>
      <xdr:colOff>530598</xdr:colOff>
      <xdr:row>13</xdr:row>
      <xdr:rowOff>111123</xdr:rowOff>
    </xdr:to>
    <xdr:sp macro="" textlink="Data!G84">
      <xdr:nvSpPr>
        <xdr:cNvPr id="19" name="TextBox 1">
          <a:extLst>
            <a:ext uri="{FF2B5EF4-FFF2-40B4-BE49-F238E27FC236}">
              <a16:creationId xmlns:a16="http://schemas.microsoft.com/office/drawing/2014/main" id="{00000000-0008-0000-0700-000013000000}"/>
            </a:ext>
          </a:extLst>
        </xdr:cNvPr>
        <xdr:cNvSpPr txBox="1"/>
      </xdr:nvSpPr>
      <xdr:spPr>
        <a:xfrm>
          <a:off x="4657735" y="2606087"/>
          <a:ext cx="930638" cy="219661"/>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92419A1F-A7D2-47EC-9647-250B6A7EE70C}" type="TxLink">
            <a:rPr lang="en-US" sz="900" b="0" i="0" u="none" strike="noStrike">
              <a:solidFill>
                <a:srgbClr val="000000"/>
              </a:solidFill>
              <a:latin typeface="Calibri"/>
              <a:sym typeface="Symbol"/>
            </a:rPr>
            <a:pPr algn="ctr"/>
            <a:t>2:16</a:t>
          </a:fld>
          <a:endParaRPr lang="en-AU" sz="500">
            <a:sym typeface="Symbol"/>
          </a:endParaRPr>
        </a:p>
      </xdr:txBody>
    </xdr:sp>
    <xdr:clientData/>
  </xdr:twoCellAnchor>
  <xdr:twoCellAnchor>
    <xdr:from>
      <xdr:col>8</xdr:col>
      <xdr:colOff>169346</xdr:colOff>
      <xdr:row>9</xdr:row>
      <xdr:rowOff>169334</xdr:rowOff>
    </xdr:from>
    <xdr:to>
      <xdr:col>9</xdr:col>
      <xdr:colOff>510492</xdr:colOff>
      <xdr:row>11</xdr:row>
      <xdr:rowOff>7995</xdr:rowOff>
    </xdr:to>
    <xdr:sp macro="" textlink="Data!G85">
      <xdr:nvSpPr>
        <xdr:cNvPr id="20" name="TextBox 1">
          <a:extLst>
            <a:ext uri="{FF2B5EF4-FFF2-40B4-BE49-F238E27FC236}">
              <a16:creationId xmlns:a16="http://schemas.microsoft.com/office/drawing/2014/main" id="{00000000-0008-0000-0700-000014000000}"/>
            </a:ext>
          </a:extLst>
        </xdr:cNvPr>
        <xdr:cNvSpPr txBox="1"/>
      </xdr:nvSpPr>
      <xdr:spPr>
        <a:xfrm>
          <a:off x="4665146" y="2121959"/>
          <a:ext cx="903121" cy="219661"/>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4DDE2E27-5C26-4D1F-8834-CE2E90517F00}" type="TxLink">
            <a:rPr lang="en-US" sz="900" b="0" i="0" u="none" strike="noStrike">
              <a:solidFill>
                <a:srgbClr val="000000"/>
              </a:solidFill>
              <a:latin typeface="Calibri"/>
              <a:sym typeface="Symbol"/>
            </a:rPr>
            <a:pPr algn="ctr"/>
            <a:t>3:16</a:t>
          </a:fld>
          <a:endParaRPr lang="en-AU" sz="500">
            <a:sym typeface="Symbol"/>
          </a:endParaRPr>
        </a:p>
      </xdr:txBody>
    </xdr:sp>
    <xdr:clientData/>
  </xdr:twoCellAnchor>
  <xdr:twoCellAnchor>
    <xdr:from>
      <xdr:col>3</xdr:col>
      <xdr:colOff>201080</xdr:colOff>
      <xdr:row>15</xdr:row>
      <xdr:rowOff>160713</xdr:rowOff>
    </xdr:from>
    <xdr:to>
      <xdr:col>3</xdr:col>
      <xdr:colOff>530025</xdr:colOff>
      <xdr:row>15</xdr:row>
      <xdr:rowOff>160716</xdr:rowOff>
    </xdr:to>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a:off x="1883830" y="3589713"/>
          <a:ext cx="328945" cy="3"/>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211663</xdr:colOff>
      <xdr:row>15</xdr:row>
      <xdr:rowOff>158752</xdr:rowOff>
    </xdr:from>
    <xdr:to>
      <xdr:col>3</xdr:col>
      <xdr:colOff>211663</xdr:colOff>
      <xdr:row>17</xdr:row>
      <xdr:rowOff>76060</xdr:rowOff>
    </xdr:to>
    <xdr:cxnSp macro="">
      <xdr:nvCxnSpPr>
        <xdr:cNvPr id="22" name="Straight Arrow Connector 21">
          <a:extLst>
            <a:ext uri="{FF2B5EF4-FFF2-40B4-BE49-F238E27FC236}">
              <a16:creationId xmlns:a16="http://schemas.microsoft.com/office/drawing/2014/main" id="{00000000-0008-0000-0700-000016000000}"/>
            </a:ext>
          </a:extLst>
        </xdr:cNvPr>
        <xdr:cNvCxnSpPr/>
      </xdr:nvCxnSpPr>
      <xdr:spPr>
        <a:xfrm>
          <a:off x="1894413" y="3587752"/>
          <a:ext cx="0" cy="29830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402167</xdr:colOff>
      <xdr:row>15</xdr:row>
      <xdr:rowOff>158750</xdr:rowOff>
    </xdr:from>
    <xdr:to>
      <xdr:col>10</xdr:col>
      <xdr:colOff>201064</xdr:colOff>
      <xdr:row>15</xdr:row>
      <xdr:rowOff>158751</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a:off x="3767667" y="3587750"/>
          <a:ext cx="2042564" cy="1"/>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199748</xdr:colOff>
      <xdr:row>15</xdr:row>
      <xdr:rowOff>148167</xdr:rowOff>
    </xdr:from>
    <xdr:to>
      <xdr:col>10</xdr:col>
      <xdr:colOff>211666</xdr:colOff>
      <xdr:row>32</xdr:row>
      <xdr:rowOff>169333</xdr:rowOff>
    </xdr:to>
    <xdr:cxnSp macro="">
      <xdr:nvCxnSpPr>
        <xdr:cNvPr id="24" name="Straight Arrow Connector 23">
          <a:extLst>
            <a:ext uri="{FF2B5EF4-FFF2-40B4-BE49-F238E27FC236}">
              <a16:creationId xmlns:a16="http://schemas.microsoft.com/office/drawing/2014/main" id="{00000000-0008-0000-0700-000018000000}"/>
            </a:ext>
          </a:extLst>
        </xdr:cNvPr>
        <xdr:cNvCxnSpPr/>
      </xdr:nvCxnSpPr>
      <xdr:spPr>
        <a:xfrm>
          <a:off x="5808915" y="3577167"/>
          <a:ext cx="11918" cy="3259666"/>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243418</xdr:colOff>
      <xdr:row>20</xdr:row>
      <xdr:rowOff>105834</xdr:rowOff>
    </xdr:from>
    <xdr:to>
      <xdr:col>10</xdr:col>
      <xdr:colOff>42334</xdr:colOff>
      <xdr:row>21</xdr:row>
      <xdr:rowOff>95251</xdr:rowOff>
    </xdr:to>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4730751" y="4487334"/>
          <a:ext cx="920750" cy="179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900" b="1"/>
            <a:t>time (min:sec)</a:t>
          </a:r>
        </a:p>
      </xdr:txBody>
    </xdr:sp>
    <xdr:clientData/>
  </xdr:twoCellAnchor>
  <xdr:twoCellAnchor>
    <xdr:from>
      <xdr:col>0</xdr:col>
      <xdr:colOff>105835</xdr:colOff>
      <xdr:row>0</xdr:row>
      <xdr:rowOff>116416</xdr:rowOff>
    </xdr:from>
    <xdr:to>
      <xdr:col>10</xdr:col>
      <xdr:colOff>179917</xdr:colOff>
      <xdr:row>2</xdr:row>
      <xdr:rowOff>148166</xdr:rowOff>
    </xdr:to>
    <xdr:sp macro="" textlink="">
      <xdr:nvSpPr>
        <xdr:cNvPr id="26" name="Rectangle 25">
          <a:extLst>
            <a:ext uri="{FF2B5EF4-FFF2-40B4-BE49-F238E27FC236}">
              <a16:creationId xmlns:a16="http://schemas.microsoft.com/office/drawing/2014/main" id="{00000000-0008-0000-0700-00001A000000}"/>
            </a:ext>
          </a:extLst>
        </xdr:cNvPr>
        <xdr:cNvSpPr/>
      </xdr:nvSpPr>
      <xdr:spPr>
        <a:xfrm>
          <a:off x="105835" y="116416"/>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HEALTH AISLES CUSTOMER ENGAGEMENT AND SOLUTION EFFECTIVENESS </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9</xdr:col>
      <xdr:colOff>31750</xdr:colOff>
      <xdr:row>1</xdr:row>
      <xdr:rowOff>328083</xdr:rowOff>
    </xdr:from>
    <xdr:to>
      <xdr:col>11</xdr:col>
      <xdr:colOff>3</xdr:colOff>
      <xdr:row>3</xdr:row>
      <xdr:rowOff>179916</xdr:rowOff>
    </xdr:to>
    <xdr:cxnSp macro="">
      <xdr:nvCxnSpPr>
        <xdr:cNvPr id="27" name="Straight Arrow Connector 26">
          <a:extLst>
            <a:ext uri="{FF2B5EF4-FFF2-40B4-BE49-F238E27FC236}">
              <a16:creationId xmlns:a16="http://schemas.microsoft.com/office/drawing/2014/main" id="{00000000-0008-0000-0700-00001B000000}"/>
            </a:ext>
          </a:extLst>
        </xdr:cNvPr>
        <xdr:cNvCxnSpPr/>
      </xdr:nvCxnSpPr>
      <xdr:spPr>
        <a:xfrm flipH="1">
          <a:off x="5080000" y="666750"/>
          <a:ext cx="1090086" cy="5820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343329</xdr:colOff>
      <xdr:row>48</xdr:row>
      <xdr:rowOff>89113</xdr:rowOff>
    </xdr:from>
    <xdr:to>
      <xdr:col>7</xdr:col>
      <xdr:colOff>503134</xdr:colOff>
      <xdr:row>56</xdr:row>
      <xdr:rowOff>44501</xdr:rowOff>
    </xdr:to>
    <xdr:pic>
      <xdr:nvPicPr>
        <xdr:cNvPr id="19465" name="M.34">
          <a:extLst>
            <a:ext uri="{FF2B5EF4-FFF2-40B4-BE49-F238E27FC236}">
              <a16:creationId xmlns:a16="http://schemas.microsoft.com/office/drawing/2014/main" id="{00000000-0008-0000-0700-0000094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35904"/>
        <a:stretch>
          <a:fillRect/>
        </a:stretch>
      </xdr:blipFill>
      <xdr:spPr bwMode="auto">
        <a:xfrm>
          <a:off x="1394889" y="9568393"/>
          <a:ext cx="2788705" cy="141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366187</xdr:colOff>
      <xdr:row>61</xdr:row>
      <xdr:rowOff>53979</xdr:rowOff>
    </xdr:from>
    <xdr:to>
      <xdr:col>7</xdr:col>
      <xdr:colOff>307978</xdr:colOff>
      <xdr:row>75</xdr:row>
      <xdr:rowOff>46570</xdr:rowOff>
    </xdr:to>
    <xdr:sp macro="" textlink="">
      <xdr:nvSpPr>
        <xdr:cNvPr id="21115" name="M.35.0">
          <a:extLst>
            <a:ext uri="{FF2B5EF4-FFF2-40B4-BE49-F238E27FC236}">
              <a16:creationId xmlns:a16="http://schemas.microsoft.com/office/drawing/2014/main" id="{00000000-0008-0000-0700-00007B520000}"/>
            </a:ext>
          </a:extLst>
        </xdr:cNvPr>
        <xdr:cNvSpPr/>
      </xdr:nvSpPr>
      <xdr:spPr>
        <a:xfrm>
          <a:off x="1416054" y="12076646"/>
          <a:ext cx="2566457" cy="2566457"/>
        </a:xfrm>
        <a:prstGeom prst="donut">
          <a:avLst>
            <a:gd name="adj" fmla="val 2500"/>
          </a:avLst>
        </a:prstGeom>
        <a:gradFill flip="none" rotWithShape="1">
          <a:gsLst>
            <a:gs pos="0">
              <a:srgbClr val="F8F8F8"/>
            </a:gs>
            <a:gs pos="100000">
              <a:srgbClr val="000000"/>
            </a:gs>
          </a:gsLst>
          <a:lin ang="2700000" scaled="1"/>
          <a:tileRect/>
        </a:gradFill>
        <a:ln w="12700" cap="flat" cmpd="sng" algn="ctr">
          <a:solidFill>
            <a:srgbClr val="000000"/>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xdr:col>
      <xdr:colOff>430348</xdr:colOff>
      <xdr:row>61</xdr:row>
      <xdr:rowOff>118140</xdr:rowOff>
    </xdr:from>
    <xdr:to>
      <xdr:col>7</xdr:col>
      <xdr:colOff>243817</xdr:colOff>
      <xdr:row>74</xdr:row>
      <xdr:rowOff>134808</xdr:rowOff>
    </xdr:to>
    <xdr:sp macro="" textlink="">
      <xdr:nvSpPr>
        <xdr:cNvPr id="21116" name="M.35.1">
          <a:extLst>
            <a:ext uri="{FF2B5EF4-FFF2-40B4-BE49-F238E27FC236}">
              <a16:creationId xmlns:a16="http://schemas.microsoft.com/office/drawing/2014/main" id="{00000000-0008-0000-0700-00007C520000}"/>
            </a:ext>
          </a:extLst>
        </xdr:cNvPr>
        <xdr:cNvSpPr/>
      </xdr:nvSpPr>
      <xdr:spPr>
        <a:xfrm>
          <a:off x="1480215" y="12140807"/>
          <a:ext cx="2438135" cy="2438134"/>
        </a:xfrm>
        <a:prstGeom prst="donut">
          <a:avLst>
            <a:gd name="adj" fmla="val 2500"/>
          </a:avLst>
        </a:prstGeom>
        <a:gradFill flip="none" rotWithShape="1">
          <a:gsLst>
            <a:gs pos="0">
              <a:srgbClr val="000000"/>
            </a:gs>
            <a:gs pos="100000">
              <a:srgbClr val="F8F8F8"/>
            </a:gs>
          </a:gsLst>
          <a:lin ang="2700000" scaled="1"/>
          <a:tileRect/>
        </a:gradFill>
        <a:ln w="25400" cap="flat" cmpd="sng" algn="ctr">
          <a:solidFill>
            <a:schemeClr val="accent1">
              <a:shade val="50000"/>
              <a:alpha val="0"/>
            </a:schemeClr>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xdr:col>
      <xdr:colOff>366187</xdr:colOff>
      <xdr:row>69</xdr:row>
      <xdr:rowOff>103719</xdr:rowOff>
    </xdr:from>
    <xdr:to>
      <xdr:col>7</xdr:col>
      <xdr:colOff>307978</xdr:colOff>
      <xdr:row>75</xdr:row>
      <xdr:rowOff>46569</xdr:rowOff>
    </xdr:to>
    <xdr:sp macro="" textlink="">
      <xdr:nvSpPr>
        <xdr:cNvPr id="21118" name="M.35.3">
          <a:extLst>
            <a:ext uri="{FF2B5EF4-FFF2-40B4-BE49-F238E27FC236}">
              <a16:creationId xmlns:a16="http://schemas.microsoft.com/office/drawing/2014/main" id="{00000000-0008-0000-0700-00007E520000}"/>
            </a:ext>
          </a:extLst>
        </xdr:cNvPr>
        <xdr:cNvSpPr txBox="1"/>
      </xdr:nvSpPr>
      <xdr:spPr>
        <a:xfrm>
          <a:off x="1416054" y="13616519"/>
          <a:ext cx="2566457" cy="1026583"/>
        </a:xfrm>
        <a:prstGeom prst="rect">
          <a:avLst/>
        </a:prstGeom>
        <a:solidFill>
          <a:schemeClr val="lt1">
            <a:alpha val="0"/>
          </a:schemeClr>
        </a:solidFill>
        <a:ln w="9525" cap="flat" cmpd="sng" algn="ctr">
          <a:solidFill>
            <a:schemeClr val="lt1">
              <a:shade val="50000"/>
              <a:alpha val="0"/>
            </a:schemeClr>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r>
            <a:rPr lang="en-US" sz="1100" b="0" i="0" u="none">
              <a:solidFill>
                <a:srgbClr val="000000"/>
              </a:solidFill>
              <a:latin typeface="Calibri"/>
            </a:rPr>
            <a:t>M.35</a:t>
          </a:r>
        </a:p>
      </xdr:txBody>
    </xdr:sp>
    <xdr:clientData/>
  </xdr:twoCellAnchor>
  <xdr:twoCellAnchor editAs="oneCell">
    <xdr:from>
      <xdr:col>2</xdr:col>
      <xdr:colOff>202141</xdr:colOff>
      <xdr:row>91</xdr:row>
      <xdr:rowOff>4232</xdr:rowOff>
    </xdr:from>
    <xdr:to>
      <xdr:col>8</xdr:col>
      <xdr:colOff>221191</xdr:colOff>
      <xdr:row>100</xdr:row>
      <xdr:rowOff>131690</xdr:rowOff>
    </xdr:to>
    <xdr:pic>
      <xdr:nvPicPr>
        <xdr:cNvPr id="21201" name="M.37">
          <a:extLst>
            <a:ext uri="{FF2B5EF4-FFF2-40B4-BE49-F238E27FC236}">
              <a16:creationId xmlns:a16="http://schemas.microsoft.com/office/drawing/2014/main" id="{00000000-0008-0000-0700-0000D15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7319"/>
        <a:stretch>
          <a:fillRect/>
        </a:stretch>
      </xdr:blipFill>
      <xdr:spPr bwMode="auto">
        <a:xfrm>
          <a:off x="1253701" y="17316872"/>
          <a:ext cx="3173730" cy="177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76</xdr:row>
      <xdr:rowOff>75146</xdr:rowOff>
    </xdr:from>
    <xdr:to>
      <xdr:col>7</xdr:col>
      <xdr:colOff>413808</xdr:colOff>
      <xdr:row>84</xdr:row>
      <xdr:rowOff>17997</xdr:rowOff>
    </xdr:to>
    <xdr:pic>
      <xdr:nvPicPr>
        <xdr:cNvPr id="21317" name="M.36">
          <a:extLst>
            <a:ext uri="{FF2B5EF4-FFF2-40B4-BE49-F238E27FC236}">
              <a16:creationId xmlns:a16="http://schemas.microsoft.com/office/drawing/2014/main" id="{00000000-0008-0000-0700-0000455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b="35626"/>
        <a:stretch>
          <a:fillRect/>
        </a:stretch>
      </xdr:blipFill>
      <xdr:spPr bwMode="auto">
        <a:xfrm>
          <a:off x="1502410" y="14583626"/>
          <a:ext cx="2591858" cy="1405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0.7943</cdr:x>
      <cdr:y>0.13069</cdr:y>
    </cdr:from>
    <cdr:to>
      <cdr:x>0.97026</cdr:x>
      <cdr:y>0.24305</cdr:y>
    </cdr:to>
    <cdr:sp macro="" textlink="">
      <cdr:nvSpPr>
        <cdr:cNvPr id="2" name="TextBox 1"/>
        <cdr:cNvSpPr txBox="1"/>
      </cdr:nvSpPr>
      <cdr:spPr>
        <a:xfrm xmlns:a="http://schemas.openxmlformats.org/drawingml/2006/main">
          <a:off x="4127500" y="233893"/>
          <a:ext cx="914400" cy="201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dr:relSizeAnchor xmlns:cdr="http://schemas.openxmlformats.org/drawingml/2006/chartDrawing">
    <cdr:from>
      <cdr:x>0.82403</cdr:x>
      <cdr:y>0.07156</cdr:y>
    </cdr:from>
    <cdr:to>
      <cdr:x>1</cdr:x>
      <cdr:y>0.17209</cdr:y>
    </cdr:to>
    <cdr:sp macro="" textlink="">
      <cdr:nvSpPr>
        <cdr:cNvPr id="3" name="TextBox 2"/>
        <cdr:cNvSpPr txBox="1"/>
      </cdr:nvSpPr>
      <cdr:spPr>
        <a:xfrm xmlns:a="http://schemas.openxmlformats.org/drawingml/2006/main">
          <a:off x="4282017" y="128059"/>
          <a:ext cx="914400" cy="1799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userShapes>
</file>

<file path=xl/drawings/drawing15.xml><?xml version="1.0" encoding="utf-8"?>
<c:userShapes xmlns:c="http://schemas.openxmlformats.org/drawingml/2006/chart">
  <cdr:relSizeAnchor xmlns:cdr="http://schemas.openxmlformats.org/drawingml/2006/chartDrawing">
    <cdr:from>
      <cdr:x>0.78661</cdr:x>
      <cdr:y>0.00592</cdr:y>
    </cdr:from>
    <cdr:to>
      <cdr:x>1</cdr:x>
      <cdr:y>0.11243</cdr:y>
    </cdr:to>
    <cdr:sp macro="" textlink="">
      <cdr:nvSpPr>
        <cdr:cNvPr id="2" name="TextBox 1"/>
        <cdr:cNvSpPr txBox="1"/>
      </cdr:nvSpPr>
      <cdr:spPr>
        <a:xfrm xmlns:a="http://schemas.openxmlformats.org/drawingml/2006/main">
          <a:off x="3979333" y="10583"/>
          <a:ext cx="107950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AU" sz="900" b="1"/>
            <a:t>time (min:sec)</a:t>
          </a: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296334</xdr:colOff>
      <xdr:row>5</xdr:row>
      <xdr:rowOff>51614</xdr:rowOff>
    </xdr:from>
    <xdr:to>
      <xdr:col>11</xdr:col>
      <xdr:colOff>275167</xdr:colOff>
      <xdr:row>7</xdr:row>
      <xdr:rowOff>87333</xdr:rowOff>
    </xdr:to>
    <xdr:sp macro="" textlink="">
      <xdr:nvSpPr>
        <xdr:cNvPr id="13" name="Rectangle 12">
          <a:extLst>
            <a:ext uri="{FF2B5EF4-FFF2-40B4-BE49-F238E27FC236}">
              <a16:creationId xmlns:a16="http://schemas.microsoft.com/office/drawing/2014/main" id="{00000000-0008-0000-0800-00000D000000}"/>
            </a:ext>
          </a:extLst>
        </xdr:cNvPr>
        <xdr:cNvSpPr/>
      </xdr:nvSpPr>
      <xdr:spPr>
        <a:xfrm>
          <a:off x="3661834" y="1162864"/>
          <a:ext cx="2783416" cy="41671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AU" sz="1100" b="1" u="none">
            <a:solidFill>
              <a:srgbClr val="002060"/>
            </a:solidFill>
            <a:latin typeface="+mn-lt"/>
            <a:ea typeface="Tahoma" pitchFamily="34" charset="0"/>
            <a:cs typeface="Tahoma" pitchFamily="34" charset="0"/>
          </a:endParaRPr>
        </a:p>
        <a:p>
          <a:pPr algn="ctr"/>
          <a:r>
            <a:rPr lang="en-AU" sz="1100" b="1" u="none">
              <a:solidFill>
                <a:srgbClr val="002060"/>
              </a:solidFill>
              <a:latin typeface="+mn-lt"/>
              <a:ea typeface="Tahoma" pitchFamily="34" charset="0"/>
              <a:cs typeface="Tahoma" pitchFamily="34" charset="0"/>
            </a:rPr>
            <a:t>Interventions ratio</a:t>
          </a:r>
        </a:p>
        <a:p>
          <a:pPr marL="0" marR="0" indent="0" algn="ctr" defTabSz="914400" eaLnBrk="1" fontAlgn="auto" latinLnBrk="0" hangingPunct="1">
            <a:lnSpc>
              <a:spcPct val="100000"/>
            </a:lnSpc>
            <a:spcBef>
              <a:spcPts val="0"/>
            </a:spcBef>
            <a:spcAft>
              <a:spcPts val="0"/>
            </a:spcAft>
            <a:buClrTx/>
            <a:buSzTx/>
            <a:buFontTx/>
            <a:buNone/>
            <a:tabLst/>
            <a:defRPr/>
          </a:pPr>
          <a:r>
            <a:rPr lang="en-AU" sz="900" b="1" i="1">
              <a:solidFill>
                <a:srgbClr val="002060"/>
              </a:solidFill>
              <a:effectLst/>
              <a:latin typeface="+mn-lt"/>
              <a:ea typeface="+mn-ea"/>
              <a:cs typeface="+mn-cs"/>
            </a:rPr>
            <a:t>"Number of interventions per 100K script items" </a:t>
          </a:r>
          <a:endParaRPr lang="en-AU" sz="900" b="1">
            <a:solidFill>
              <a:srgbClr val="002060"/>
            </a:solidFill>
            <a:effectLst/>
          </a:endParaRPr>
        </a:p>
        <a:p>
          <a:pPr algn="ctr"/>
          <a:endParaRPr lang="en-AU" sz="1100" b="1" u="none">
            <a:solidFill>
              <a:srgbClr val="002060"/>
            </a:solidFill>
            <a:latin typeface="+mn-lt"/>
            <a:ea typeface="Tahoma" pitchFamily="34" charset="0"/>
            <a:cs typeface="Tahoma" pitchFamily="34" charset="0"/>
          </a:endParaRPr>
        </a:p>
      </xdr:txBody>
    </xdr:sp>
    <xdr:clientData/>
  </xdr:twoCellAnchor>
  <xdr:twoCellAnchor>
    <xdr:from>
      <xdr:col>0</xdr:col>
      <xdr:colOff>243418</xdr:colOff>
      <xdr:row>5</xdr:row>
      <xdr:rowOff>52919</xdr:rowOff>
    </xdr:from>
    <xdr:to>
      <xdr:col>5</xdr:col>
      <xdr:colOff>76109</xdr:colOff>
      <xdr:row>7</xdr:row>
      <xdr:rowOff>105833</xdr:rowOff>
    </xdr:to>
    <xdr:sp macro="" textlink="">
      <xdr:nvSpPr>
        <xdr:cNvPr id="16" name="Rectangle 15">
          <a:extLst>
            <a:ext uri="{FF2B5EF4-FFF2-40B4-BE49-F238E27FC236}">
              <a16:creationId xmlns:a16="http://schemas.microsoft.com/office/drawing/2014/main" id="{00000000-0008-0000-0800-000010000000}"/>
            </a:ext>
          </a:extLst>
        </xdr:cNvPr>
        <xdr:cNvSpPr/>
      </xdr:nvSpPr>
      <xdr:spPr>
        <a:xfrm>
          <a:off x="243418" y="38429144"/>
          <a:ext cx="2642566" cy="43391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 Meds Checks</a:t>
          </a:r>
        </a:p>
        <a:p>
          <a:pPr algn="ctr"/>
          <a:r>
            <a:rPr lang="en-AU" sz="900" b="1" i="1">
              <a:solidFill>
                <a:srgbClr val="002060"/>
              </a:solidFill>
              <a:effectLst/>
              <a:latin typeface="+mn-lt"/>
              <a:ea typeface="+mn-ea"/>
              <a:cs typeface="+mn-cs"/>
            </a:rPr>
            <a:t>"Number of Meds Checks per month"</a:t>
          </a:r>
          <a:r>
            <a:rPr lang="en-AU" sz="900" b="1" i="1" u="none">
              <a:solidFill>
                <a:srgbClr val="002060"/>
              </a:solidFill>
              <a:latin typeface="+mn-lt"/>
              <a:ea typeface="Tahoma" pitchFamily="34" charset="0"/>
              <a:cs typeface="Tahoma" pitchFamily="34" charset="0"/>
            </a:rPr>
            <a:t> </a:t>
          </a:r>
        </a:p>
      </xdr:txBody>
    </xdr:sp>
    <xdr:clientData/>
  </xdr:twoCellAnchor>
  <xdr:twoCellAnchor>
    <xdr:from>
      <xdr:col>0</xdr:col>
      <xdr:colOff>52914</xdr:colOff>
      <xdr:row>3</xdr:row>
      <xdr:rowOff>137583</xdr:rowOff>
    </xdr:from>
    <xdr:to>
      <xdr:col>12</xdr:col>
      <xdr:colOff>63499</xdr:colOff>
      <xdr:row>31</xdr:row>
      <xdr:rowOff>74083</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52914" y="867833"/>
          <a:ext cx="6741585" cy="518583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391590</xdr:colOff>
      <xdr:row>18</xdr:row>
      <xdr:rowOff>95249</xdr:rowOff>
    </xdr:from>
    <xdr:to>
      <xdr:col>7</xdr:col>
      <xdr:colOff>224280</xdr:colOff>
      <xdr:row>20</xdr:row>
      <xdr:rowOff>148163</xdr:rowOff>
    </xdr:to>
    <xdr:sp macro="" textlink="">
      <xdr:nvSpPr>
        <xdr:cNvPr id="78" name="Rectangle 77">
          <a:extLst>
            <a:ext uri="{FF2B5EF4-FFF2-40B4-BE49-F238E27FC236}">
              <a16:creationId xmlns:a16="http://schemas.microsoft.com/office/drawing/2014/main" id="{00000000-0008-0000-0800-00004E000000}"/>
            </a:ext>
          </a:extLst>
        </xdr:cNvPr>
        <xdr:cNvSpPr/>
      </xdr:nvSpPr>
      <xdr:spPr>
        <a:xfrm>
          <a:off x="1515540" y="40909874"/>
          <a:ext cx="2642565" cy="43391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DAA Patients</a:t>
          </a:r>
        </a:p>
        <a:p>
          <a:pPr algn="ctr"/>
          <a:r>
            <a:rPr lang="en-AU" sz="900" b="1" i="1">
              <a:solidFill>
                <a:srgbClr val="002060"/>
              </a:solidFill>
              <a:effectLst/>
              <a:latin typeface="+mn-lt"/>
              <a:ea typeface="+mn-ea"/>
              <a:cs typeface="+mn-cs"/>
            </a:rPr>
            <a:t>"# DAA patients per 100K script </a:t>
          </a:r>
        </a:p>
        <a:p>
          <a:pPr algn="ctr"/>
          <a:r>
            <a:rPr lang="en-AU" sz="900" b="1" i="1">
              <a:solidFill>
                <a:srgbClr val="002060"/>
              </a:solidFill>
              <a:effectLst/>
              <a:latin typeface="+mn-lt"/>
              <a:ea typeface="+mn-ea"/>
              <a:cs typeface="+mn-cs"/>
            </a:rPr>
            <a:t>customer transactions"</a:t>
          </a:r>
          <a:r>
            <a:rPr lang="en-AU" sz="900" b="1" i="1" u="none">
              <a:solidFill>
                <a:srgbClr val="002060"/>
              </a:solidFill>
              <a:latin typeface="+mn-lt"/>
              <a:ea typeface="Tahoma" pitchFamily="34" charset="0"/>
              <a:cs typeface="Tahoma" pitchFamily="34" charset="0"/>
            </a:rPr>
            <a:t> </a:t>
          </a:r>
        </a:p>
      </xdr:txBody>
    </xdr:sp>
    <xdr:clientData/>
  </xdr:twoCellAnchor>
  <xdr:twoCellAnchor>
    <xdr:from>
      <xdr:col>1</xdr:col>
      <xdr:colOff>21167</xdr:colOff>
      <xdr:row>0</xdr:row>
      <xdr:rowOff>211667</xdr:rowOff>
    </xdr:from>
    <xdr:to>
      <xdr:col>11</xdr:col>
      <xdr:colOff>95250</xdr:colOff>
      <xdr:row>2</xdr:row>
      <xdr:rowOff>190500</xdr:rowOff>
    </xdr:to>
    <xdr:sp macro="" textlink="">
      <xdr:nvSpPr>
        <xdr:cNvPr id="10" name="Rectangle 9">
          <a:extLst>
            <a:ext uri="{FF2B5EF4-FFF2-40B4-BE49-F238E27FC236}">
              <a16:creationId xmlns:a16="http://schemas.microsoft.com/office/drawing/2014/main" id="{00000000-0008-0000-0800-00000A000000}"/>
            </a:ext>
          </a:extLst>
        </xdr:cNvPr>
        <xdr:cNvSpPr/>
      </xdr:nvSpPr>
      <xdr:spPr>
        <a:xfrm>
          <a:off x="582084" y="211667"/>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LEADING PPI PERFORMANCE </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11</xdr:col>
      <xdr:colOff>52917</xdr:colOff>
      <xdr:row>2</xdr:row>
      <xdr:rowOff>0</xdr:rowOff>
    </xdr:from>
    <xdr:to>
      <xdr:col>12</xdr:col>
      <xdr:colOff>539752</xdr:colOff>
      <xdr:row>4</xdr:row>
      <xdr:rowOff>31750</xdr:rowOff>
    </xdr:to>
    <xdr:cxnSp macro="">
      <xdr:nvCxnSpPr>
        <xdr:cNvPr id="11" name="Straight Arrow Connector 10">
          <a:extLst>
            <a:ext uri="{FF2B5EF4-FFF2-40B4-BE49-F238E27FC236}">
              <a16:creationId xmlns:a16="http://schemas.microsoft.com/office/drawing/2014/main" id="{00000000-0008-0000-0800-00000B000000}"/>
            </a:ext>
          </a:extLst>
        </xdr:cNvPr>
        <xdr:cNvCxnSpPr/>
      </xdr:nvCxnSpPr>
      <xdr:spPr>
        <a:xfrm flipH="1">
          <a:off x="6223000" y="730250"/>
          <a:ext cx="1047752" cy="61383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211677</xdr:colOff>
      <xdr:row>9</xdr:row>
      <xdr:rowOff>57793</xdr:rowOff>
    </xdr:from>
    <xdr:to>
      <xdr:col>5</xdr:col>
      <xdr:colOff>244476</xdr:colOff>
      <xdr:row>17</xdr:row>
      <xdr:rowOff>50800</xdr:rowOff>
    </xdr:to>
    <xdr:pic>
      <xdr:nvPicPr>
        <xdr:cNvPr id="20509" name="M.17">
          <a:extLst>
            <a:ext uri="{FF2B5EF4-FFF2-40B4-BE49-F238E27FC236}">
              <a16:creationId xmlns:a16="http://schemas.microsoft.com/office/drawing/2014/main" id="{00000000-0008-0000-0800-00001D5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5405"/>
        <a:stretch/>
      </xdr:blipFill>
      <xdr:spPr bwMode="auto">
        <a:xfrm>
          <a:off x="211677" y="2267593"/>
          <a:ext cx="2657466" cy="1483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4448</xdr:colOff>
      <xdr:row>9</xdr:row>
      <xdr:rowOff>164472</xdr:rowOff>
    </xdr:from>
    <xdr:to>
      <xdr:col>11</xdr:col>
      <xdr:colOff>372532</xdr:colOff>
      <xdr:row>17</xdr:row>
      <xdr:rowOff>76199</xdr:rowOff>
    </xdr:to>
    <xdr:pic>
      <xdr:nvPicPr>
        <xdr:cNvPr id="20510" name="M.18">
          <a:extLst>
            <a:ext uri="{FF2B5EF4-FFF2-40B4-BE49-F238E27FC236}">
              <a16:creationId xmlns:a16="http://schemas.microsoft.com/office/drawing/2014/main" id="{00000000-0008-0000-0800-00001E5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b="47657"/>
        <a:stretch/>
      </xdr:blipFill>
      <xdr:spPr bwMode="auto">
        <a:xfrm>
          <a:off x="3154048" y="2374272"/>
          <a:ext cx="2992751" cy="1401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42758</xdr:colOff>
      <xdr:row>23</xdr:row>
      <xdr:rowOff>28791</xdr:rowOff>
    </xdr:from>
    <xdr:to>
      <xdr:col>7</xdr:col>
      <xdr:colOff>365189</xdr:colOff>
      <xdr:row>30</xdr:row>
      <xdr:rowOff>169334</xdr:rowOff>
    </xdr:to>
    <xdr:pic>
      <xdr:nvPicPr>
        <xdr:cNvPr id="20495" name="DAA">
          <a:extLst>
            <a:ext uri="{FF2B5EF4-FFF2-40B4-BE49-F238E27FC236}">
              <a16:creationId xmlns:a16="http://schemas.microsoft.com/office/drawing/2014/main" id="{00000000-0008-0000-0800-00000F5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7089"/>
        <a:stretch/>
      </xdr:blipFill>
      <xdr:spPr bwMode="auto">
        <a:xfrm>
          <a:off x="1092625" y="4812458"/>
          <a:ext cx="2947097" cy="1444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546107</xdr:colOff>
      <xdr:row>5</xdr:row>
      <xdr:rowOff>106894</xdr:rowOff>
    </xdr:from>
    <xdr:to>
      <xdr:col>18</xdr:col>
      <xdr:colOff>78322</xdr:colOff>
      <xdr:row>14</xdr:row>
      <xdr:rowOff>76208</xdr:rowOff>
    </xdr:to>
    <xdr:pic>
      <xdr:nvPicPr>
        <xdr:cNvPr id="21621" name="M.37copy">
          <a:extLst>
            <a:ext uri="{FF2B5EF4-FFF2-40B4-BE49-F238E27FC236}">
              <a16:creationId xmlns:a16="http://schemas.microsoft.com/office/drawing/2014/main" id="{00000000-0008-0000-0900-000075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0572"/>
        <a:stretch>
          <a:fillRect/>
        </a:stretch>
      </xdr:blipFill>
      <xdr:spPr bwMode="auto">
        <a:xfrm>
          <a:off x="7289807" y="1611844"/>
          <a:ext cx="2904065" cy="1731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190503</xdr:colOff>
      <xdr:row>21</xdr:row>
      <xdr:rowOff>63501</xdr:rowOff>
    </xdr:from>
    <xdr:to>
      <xdr:col>21</xdr:col>
      <xdr:colOff>328084</xdr:colOff>
      <xdr:row>24</xdr:row>
      <xdr:rowOff>74077</xdr:rowOff>
    </xdr:to>
    <xdr:sp macro="" textlink="">
      <xdr:nvSpPr>
        <xdr:cNvPr id="4" name="Rectangle 3">
          <a:extLst>
            <a:ext uri="{FF2B5EF4-FFF2-40B4-BE49-F238E27FC236}">
              <a16:creationId xmlns:a16="http://schemas.microsoft.com/office/drawing/2014/main" id="{00000000-0008-0000-0900-000004000000}"/>
            </a:ext>
          </a:extLst>
        </xdr:cNvPr>
        <xdr:cNvSpPr/>
      </xdr:nvSpPr>
      <xdr:spPr>
        <a:xfrm>
          <a:off x="7482420" y="5185834"/>
          <a:ext cx="2942164" cy="58207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u="none">
              <a:solidFill>
                <a:srgbClr val="002060"/>
              </a:solidFill>
              <a:latin typeface="+mn-lt"/>
              <a:ea typeface="Tahoma" pitchFamily="34" charset="0"/>
              <a:cs typeface="Tahoma" pitchFamily="34" charset="0"/>
            </a:rPr>
            <a:t>$ sales in non-script health</a:t>
          </a:r>
          <a:r>
            <a:rPr lang="en-AU" sz="1050" b="1" u="none" baseline="0">
              <a:solidFill>
                <a:srgbClr val="002060"/>
              </a:solidFill>
              <a:latin typeface="+mn-lt"/>
              <a:ea typeface="Tahoma" pitchFamily="34" charset="0"/>
              <a:cs typeface="Tahoma" pitchFamily="34" charset="0"/>
            </a:rPr>
            <a:t> categories </a:t>
          </a:r>
          <a:r>
            <a:rPr lang="en-AU" sz="1050" b="1" u="none">
              <a:solidFill>
                <a:srgbClr val="002060"/>
              </a:solidFill>
              <a:latin typeface="+mn-lt"/>
              <a:ea typeface="Tahoma" pitchFamily="34" charset="0"/>
              <a:cs typeface="Tahoma" pitchFamily="34" charset="0"/>
            </a:rPr>
            <a:t>per script customer transaction</a:t>
          </a:r>
          <a:r>
            <a:rPr lang="en-AU" sz="1050" b="1" u="none" baseline="0">
              <a:solidFill>
                <a:srgbClr val="002060"/>
              </a:solidFill>
              <a:latin typeface="+mn-lt"/>
              <a:ea typeface="Tahoma" pitchFamily="34" charset="0"/>
              <a:cs typeface="Tahoma" pitchFamily="34" charset="0"/>
            </a:rPr>
            <a:t> </a:t>
          </a:r>
          <a:r>
            <a:rPr lang="en-AU" sz="1050" b="1" u="none">
              <a:solidFill>
                <a:srgbClr val="002060"/>
              </a:solidFill>
              <a:latin typeface="+mn-lt"/>
              <a:ea typeface="Tahoma" pitchFamily="34" charset="0"/>
              <a:cs typeface="Tahoma" pitchFamily="34" charset="0"/>
            </a:rPr>
            <a:t>over 12 months</a:t>
          </a:r>
        </a:p>
        <a:p>
          <a:pPr algn="ctr"/>
          <a:r>
            <a:rPr lang="en-AU" sz="1100" b="1" i="0" u="none">
              <a:solidFill>
                <a:srgbClr val="002060"/>
              </a:solidFill>
              <a:latin typeface="+mn-lt"/>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health customer sales ratio - value</a:t>
          </a:r>
          <a:r>
            <a:rPr lang="en-AU" sz="1100" b="1" u="none">
              <a:solidFill>
                <a:srgbClr val="002060"/>
              </a:solidFill>
              <a:latin typeface="+mn-lt"/>
              <a:ea typeface="Tahoma" pitchFamily="34" charset="0"/>
              <a:cs typeface="Tahoma" pitchFamily="34" charset="0"/>
            </a:rPr>
            <a:t>"</a:t>
          </a:r>
        </a:p>
      </xdr:txBody>
    </xdr:sp>
    <xdr:clientData/>
  </xdr:twoCellAnchor>
  <xdr:twoCellAnchor>
    <xdr:from>
      <xdr:col>6</xdr:col>
      <xdr:colOff>328080</xdr:colOff>
      <xdr:row>4</xdr:row>
      <xdr:rowOff>179918</xdr:rowOff>
    </xdr:from>
    <xdr:to>
      <xdr:col>11</xdr:col>
      <xdr:colOff>253997</xdr:colOff>
      <xdr:row>6</xdr:row>
      <xdr:rowOff>169333</xdr:rowOff>
    </xdr:to>
    <xdr:sp macro="" textlink="">
      <xdr:nvSpPr>
        <xdr:cNvPr id="15" name="Rectangle 14">
          <a:extLst>
            <a:ext uri="{FF2B5EF4-FFF2-40B4-BE49-F238E27FC236}">
              <a16:creationId xmlns:a16="http://schemas.microsoft.com/office/drawing/2014/main" id="{00000000-0008-0000-0900-00000F000000}"/>
            </a:ext>
          </a:extLst>
        </xdr:cNvPr>
        <xdr:cNvSpPr/>
      </xdr:nvSpPr>
      <xdr:spPr>
        <a:xfrm>
          <a:off x="3693580" y="1100668"/>
          <a:ext cx="2730500" cy="42333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OTC customer</a:t>
          </a:r>
          <a:r>
            <a:rPr lang="en-AU" sz="1100" b="1" u="none" baseline="0">
              <a:solidFill>
                <a:srgbClr val="002060"/>
              </a:solidFill>
              <a:latin typeface="+mn-lt"/>
              <a:ea typeface="Tahoma" pitchFamily="34" charset="0"/>
              <a:cs typeface="Tahoma" pitchFamily="34" charset="0"/>
            </a:rPr>
            <a:t> basket size ratio</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232832</xdr:colOff>
      <xdr:row>42</xdr:row>
      <xdr:rowOff>2</xdr:rowOff>
    </xdr:from>
    <xdr:to>
      <xdr:col>7</xdr:col>
      <xdr:colOff>507999</xdr:colOff>
      <xdr:row>44</xdr:row>
      <xdr:rowOff>116417</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232832" y="8858252"/>
          <a:ext cx="3079750" cy="49741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u="none">
              <a:solidFill>
                <a:srgbClr val="002060"/>
              </a:solidFill>
              <a:latin typeface="+mn-lt"/>
              <a:ea typeface="Tahoma" pitchFamily="34" charset="0"/>
              <a:cs typeface="Tahoma" pitchFamily="34" charset="0"/>
            </a:rPr>
            <a:t>Change in script item volume year-on-year</a:t>
          </a:r>
        </a:p>
        <a:p>
          <a:pPr algn="ctr"/>
          <a:r>
            <a:rPr lang="en-AU" sz="1100" b="1" i="0" u="none">
              <a:solidFill>
                <a:srgbClr val="002060"/>
              </a:solidFill>
              <a:latin typeface="+mn-lt"/>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 year-on-year</a:t>
          </a:r>
          <a:r>
            <a:rPr lang="en-AU" sz="900" b="1" i="1" u="none" baseline="0">
              <a:solidFill>
                <a:srgbClr val="002060"/>
              </a:solidFill>
              <a:latin typeface="+mn-lt"/>
              <a:ea typeface="Tahoma" pitchFamily="34" charset="0"/>
              <a:cs typeface="Tahoma" pitchFamily="34" charset="0"/>
            </a:rPr>
            <a:t> script </a:t>
          </a:r>
          <a:r>
            <a:rPr lang="en-AU" sz="900" b="1" i="1" u="none">
              <a:solidFill>
                <a:srgbClr val="002060"/>
              </a:solidFill>
              <a:latin typeface="+mn-lt"/>
              <a:ea typeface="Tahoma" pitchFamily="34" charset="0"/>
              <a:cs typeface="Tahoma" pitchFamily="34" charset="0"/>
            </a:rPr>
            <a:t>customer retention </a:t>
          </a:r>
          <a:r>
            <a:rPr lang="en-AU" sz="1100" b="1" u="none">
              <a:solidFill>
                <a:srgbClr val="002060"/>
              </a:solidFill>
              <a:latin typeface="+mn-lt"/>
              <a:ea typeface="Tahoma" pitchFamily="34" charset="0"/>
              <a:cs typeface="Tahoma" pitchFamily="34" charset="0"/>
            </a:rPr>
            <a:t>"</a:t>
          </a:r>
        </a:p>
      </xdr:txBody>
    </xdr:sp>
    <xdr:clientData/>
  </xdr:twoCellAnchor>
  <xdr:twoCellAnchor>
    <xdr:from>
      <xdr:col>10</xdr:col>
      <xdr:colOff>211667</xdr:colOff>
      <xdr:row>42</xdr:row>
      <xdr:rowOff>10583</xdr:rowOff>
    </xdr:from>
    <xdr:to>
      <xdr:col>15</xdr:col>
      <xdr:colOff>423333</xdr:colOff>
      <xdr:row>44</xdr:row>
      <xdr:rowOff>116416</xdr:rowOff>
    </xdr:to>
    <xdr:sp macro="" textlink="">
      <xdr:nvSpPr>
        <xdr:cNvPr id="19" name="Rectangle 18">
          <a:extLst>
            <a:ext uri="{FF2B5EF4-FFF2-40B4-BE49-F238E27FC236}">
              <a16:creationId xmlns:a16="http://schemas.microsoft.com/office/drawing/2014/main" id="{00000000-0008-0000-0900-000013000000}"/>
            </a:ext>
          </a:extLst>
        </xdr:cNvPr>
        <xdr:cNvSpPr/>
      </xdr:nvSpPr>
      <xdr:spPr>
        <a:xfrm>
          <a:off x="4699000" y="8868833"/>
          <a:ext cx="3016250" cy="48683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u="none">
              <a:solidFill>
                <a:srgbClr val="002060"/>
              </a:solidFill>
              <a:latin typeface="+mn-lt"/>
              <a:ea typeface="Tahoma" pitchFamily="34" charset="0"/>
              <a:cs typeface="Tahoma" pitchFamily="34" charset="0"/>
            </a:rPr>
            <a:t>Change in customer traffic year-on-year</a:t>
          </a:r>
        </a:p>
        <a:p>
          <a:pPr algn="ctr"/>
          <a:r>
            <a:rPr lang="en-AU" sz="1100" b="1" i="0" u="none">
              <a:solidFill>
                <a:srgbClr val="002060"/>
              </a:solidFill>
              <a:latin typeface="+mn-lt"/>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 year-on-year customer retention</a:t>
          </a:r>
          <a:r>
            <a:rPr lang="en-AU" sz="1100" b="1" u="none">
              <a:solidFill>
                <a:srgbClr val="002060"/>
              </a:solidFill>
              <a:latin typeface="+mn-lt"/>
              <a:ea typeface="Tahoma" pitchFamily="34" charset="0"/>
              <a:cs typeface="Tahoma" pitchFamily="34" charset="0"/>
            </a:rPr>
            <a:t>"</a:t>
          </a:r>
        </a:p>
      </xdr:txBody>
    </xdr:sp>
    <xdr:clientData/>
  </xdr:twoCellAnchor>
  <xdr:twoCellAnchor>
    <xdr:from>
      <xdr:col>0</xdr:col>
      <xdr:colOff>381004</xdr:colOff>
      <xdr:row>5</xdr:row>
      <xdr:rowOff>2</xdr:rowOff>
    </xdr:from>
    <xdr:to>
      <xdr:col>5</xdr:col>
      <xdr:colOff>296333</xdr:colOff>
      <xdr:row>6</xdr:row>
      <xdr:rowOff>169333</xdr:rowOff>
    </xdr:to>
    <xdr:sp macro="" textlink="">
      <xdr:nvSpPr>
        <xdr:cNvPr id="24" name="Rectangle 23">
          <a:extLst>
            <a:ext uri="{FF2B5EF4-FFF2-40B4-BE49-F238E27FC236}">
              <a16:creationId xmlns:a16="http://schemas.microsoft.com/office/drawing/2014/main" id="{00000000-0008-0000-0900-000018000000}"/>
            </a:ext>
          </a:extLst>
        </xdr:cNvPr>
        <xdr:cNvSpPr/>
      </xdr:nvSpPr>
      <xdr:spPr>
        <a:xfrm>
          <a:off x="381004" y="1502835"/>
          <a:ext cx="2719912" cy="41274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 add-on </a:t>
          </a:r>
        </a:p>
        <a:p>
          <a:pPr algn="ctr"/>
          <a:r>
            <a:rPr lang="en-AU" sz="1100" b="1" u="none">
              <a:solidFill>
                <a:srgbClr val="002060"/>
              </a:solidFill>
              <a:latin typeface="+mn-lt"/>
              <a:ea typeface="Tahoma" pitchFamily="34" charset="0"/>
              <a:cs typeface="Tahoma" pitchFamily="34" charset="0"/>
            </a:rPr>
            <a:t>medicines</a:t>
          </a:r>
          <a:r>
            <a:rPr lang="en-AU" sz="1100" b="1" u="none" baseline="0">
              <a:solidFill>
                <a:srgbClr val="002060"/>
              </a:solidFill>
              <a:latin typeface="+mn-lt"/>
              <a:ea typeface="Tahoma" pitchFamily="34" charset="0"/>
              <a:cs typeface="Tahoma" pitchFamily="34" charset="0"/>
            </a:rPr>
            <a:t> </a:t>
          </a:r>
          <a:r>
            <a:rPr lang="en-AU" sz="1100" b="1" u="none">
              <a:solidFill>
                <a:srgbClr val="002060"/>
              </a:solidFill>
              <a:latin typeface="+mn-lt"/>
              <a:ea typeface="Tahoma" pitchFamily="34" charset="0"/>
              <a:cs typeface="Tahoma" pitchFamily="34" charset="0"/>
            </a:rPr>
            <a:t>ratio</a:t>
          </a:r>
        </a:p>
      </xdr:txBody>
    </xdr:sp>
    <xdr:clientData/>
  </xdr:twoCellAnchor>
  <xdr:twoCellAnchor>
    <xdr:from>
      <xdr:col>0</xdr:col>
      <xdr:colOff>52916</xdr:colOff>
      <xdr:row>3</xdr:row>
      <xdr:rowOff>52917</xdr:rowOff>
    </xdr:from>
    <xdr:to>
      <xdr:col>19</xdr:col>
      <xdr:colOff>42332</xdr:colOff>
      <xdr:row>18</xdr:row>
      <xdr:rowOff>84667</xdr:rowOff>
    </xdr:to>
    <xdr:sp macro="" textlink="">
      <xdr:nvSpPr>
        <xdr:cNvPr id="30" name="Rectangle 29">
          <a:extLst>
            <a:ext uri="{FF2B5EF4-FFF2-40B4-BE49-F238E27FC236}">
              <a16:creationId xmlns:a16="http://schemas.microsoft.com/office/drawing/2014/main" id="{00000000-0008-0000-0900-00001E000000}"/>
            </a:ext>
          </a:extLst>
        </xdr:cNvPr>
        <xdr:cNvSpPr/>
      </xdr:nvSpPr>
      <xdr:spPr>
        <a:xfrm>
          <a:off x="52916" y="783167"/>
          <a:ext cx="10646833" cy="3323167"/>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42337</xdr:colOff>
      <xdr:row>40</xdr:row>
      <xdr:rowOff>10583</xdr:rowOff>
    </xdr:from>
    <xdr:to>
      <xdr:col>19</xdr:col>
      <xdr:colOff>63500</xdr:colOff>
      <xdr:row>56</xdr:row>
      <xdr:rowOff>0</xdr:rowOff>
    </xdr:to>
    <xdr:sp macro="" textlink="">
      <xdr:nvSpPr>
        <xdr:cNvPr id="34" name="Rectangle 33">
          <a:extLst>
            <a:ext uri="{FF2B5EF4-FFF2-40B4-BE49-F238E27FC236}">
              <a16:creationId xmlns:a16="http://schemas.microsoft.com/office/drawing/2014/main" id="{00000000-0008-0000-0900-000022000000}"/>
            </a:ext>
          </a:extLst>
        </xdr:cNvPr>
        <xdr:cNvSpPr/>
      </xdr:nvSpPr>
      <xdr:spPr>
        <a:xfrm>
          <a:off x="42337" y="8688916"/>
          <a:ext cx="10678580" cy="3037417"/>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52917</xdr:colOff>
      <xdr:row>20</xdr:row>
      <xdr:rowOff>42333</xdr:rowOff>
    </xdr:from>
    <xdr:to>
      <xdr:col>22</xdr:col>
      <xdr:colOff>63499</xdr:colOff>
      <xdr:row>38</xdr:row>
      <xdr:rowOff>105834</xdr:rowOff>
    </xdr:to>
    <xdr:sp macro="" textlink="">
      <xdr:nvSpPr>
        <xdr:cNvPr id="41" name="Rectangle 40">
          <a:extLst>
            <a:ext uri="{FF2B5EF4-FFF2-40B4-BE49-F238E27FC236}">
              <a16:creationId xmlns:a16="http://schemas.microsoft.com/office/drawing/2014/main" id="{00000000-0008-0000-0900-000029000000}"/>
            </a:ext>
          </a:extLst>
        </xdr:cNvPr>
        <xdr:cNvSpPr/>
      </xdr:nvSpPr>
      <xdr:spPr>
        <a:xfrm>
          <a:off x="52917" y="5016500"/>
          <a:ext cx="10667999" cy="3407834"/>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444494</xdr:colOff>
      <xdr:row>21</xdr:row>
      <xdr:rowOff>31755</xdr:rowOff>
    </xdr:from>
    <xdr:to>
      <xdr:col>8</xdr:col>
      <xdr:colOff>306909</xdr:colOff>
      <xdr:row>24</xdr:row>
      <xdr:rowOff>53981</xdr:rowOff>
    </xdr:to>
    <xdr:sp macro="" textlink="">
      <xdr:nvSpPr>
        <xdr:cNvPr id="76" name="Rectangle 75">
          <a:extLst>
            <a:ext uri="{FF2B5EF4-FFF2-40B4-BE49-F238E27FC236}">
              <a16:creationId xmlns:a16="http://schemas.microsoft.com/office/drawing/2014/main" id="{00000000-0008-0000-0900-00004C000000}"/>
            </a:ext>
          </a:extLst>
        </xdr:cNvPr>
        <xdr:cNvSpPr/>
      </xdr:nvSpPr>
      <xdr:spPr>
        <a:xfrm>
          <a:off x="444494" y="5154088"/>
          <a:ext cx="2666998" cy="59372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a:solidFill>
                <a:srgbClr val="002060"/>
              </a:solidFill>
              <a:effectLst/>
              <a:latin typeface="+mn-lt"/>
              <a:ea typeface="+mn-ea"/>
              <a:cs typeface="+mn-cs"/>
            </a:rPr>
            <a:t># items sold in non-script health categories per script customer transaction</a:t>
          </a:r>
          <a:endParaRPr lang="en-AU" sz="1050">
            <a:solidFill>
              <a:srgbClr val="002060"/>
            </a:solidFill>
            <a:effectLst/>
          </a:endParaRPr>
        </a:p>
        <a:p>
          <a:pPr algn="ctr"/>
          <a:r>
            <a:rPr lang="en-AU" sz="1100" b="1" i="0" u="none">
              <a:solidFill>
                <a:srgbClr val="002060"/>
              </a:solidFill>
              <a:latin typeface="+mn-lt"/>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health customer sales ratio - volume</a:t>
          </a:r>
          <a:r>
            <a:rPr lang="en-AU" sz="1100" b="1" u="none">
              <a:solidFill>
                <a:srgbClr val="002060"/>
              </a:solidFill>
              <a:latin typeface="+mn-lt"/>
              <a:ea typeface="Tahoma" pitchFamily="34" charset="0"/>
              <a:cs typeface="Tahoma" pitchFamily="34" charset="0"/>
            </a:rPr>
            <a:t>"</a:t>
          </a:r>
        </a:p>
      </xdr:txBody>
    </xdr:sp>
    <xdr:clientData/>
  </xdr:twoCellAnchor>
  <xdr:twoCellAnchor>
    <xdr:from>
      <xdr:col>9</xdr:col>
      <xdr:colOff>381004</xdr:colOff>
      <xdr:row>21</xdr:row>
      <xdr:rowOff>74085</xdr:rowOff>
    </xdr:from>
    <xdr:to>
      <xdr:col>14</xdr:col>
      <xdr:colOff>253991</xdr:colOff>
      <xdr:row>23</xdr:row>
      <xdr:rowOff>179918</xdr:rowOff>
    </xdr:to>
    <xdr:sp macro="" textlink="">
      <xdr:nvSpPr>
        <xdr:cNvPr id="77" name="Rectangle 76">
          <a:extLst>
            <a:ext uri="{FF2B5EF4-FFF2-40B4-BE49-F238E27FC236}">
              <a16:creationId xmlns:a16="http://schemas.microsoft.com/office/drawing/2014/main" id="{00000000-0008-0000-0900-00004D000000}"/>
            </a:ext>
          </a:extLst>
        </xdr:cNvPr>
        <xdr:cNvSpPr/>
      </xdr:nvSpPr>
      <xdr:spPr>
        <a:xfrm>
          <a:off x="5429254" y="4635502"/>
          <a:ext cx="2677570" cy="48683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u="none">
              <a:solidFill>
                <a:srgbClr val="002060"/>
              </a:solidFill>
              <a:latin typeface="+mn-lt"/>
              <a:ea typeface="Tahoma" pitchFamily="34" charset="0"/>
              <a:cs typeface="Tahoma" pitchFamily="34" charset="0"/>
            </a:rPr>
            <a:t>Average price per non-script health </a:t>
          </a:r>
        </a:p>
        <a:p>
          <a:pPr algn="ctr"/>
          <a:r>
            <a:rPr lang="en-AU" sz="1050" b="1" u="none">
              <a:solidFill>
                <a:srgbClr val="002060"/>
              </a:solidFill>
              <a:latin typeface="+mn-lt"/>
              <a:ea typeface="Tahoma" pitchFamily="34" charset="0"/>
              <a:cs typeface="Tahoma" pitchFamily="34" charset="0"/>
            </a:rPr>
            <a:t>category item sold</a:t>
          </a:r>
        </a:p>
      </xdr:txBody>
    </xdr:sp>
    <xdr:clientData/>
  </xdr:twoCellAnchor>
  <xdr:twoCellAnchor>
    <xdr:from>
      <xdr:col>12</xdr:col>
      <xdr:colOff>391583</xdr:colOff>
      <xdr:row>4</xdr:row>
      <xdr:rowOff>148167</xdr:rowOff>
    </xdr:from>
    <xdr:to>
      <xdr:col>17</xdr:col>
      <xdr:colOff>317500</xdr:colOff>
      <xdr:row>6</xdr:row>
      <xdr:rowOff>179916</xdr:rowOff>
    </xdr:to>
    <xdr:sp macro="" textlink="">
      <xdr:nvSpPr>
        <xdr:cNvPr id="138" name="Rectangle 137">
          <a:extLst>
            <a:ext uri="{FF2B5EF4-FFF2-40B4-BE49-F238E27FC236}">
              <a16:creationId xmlns:a16="http://schemas.microsoft.com/office/drawing/2014/main" id="{00000000-0008-0000-0900-00008A000000}"/>
            </a:ext>
          </a:extLst>
        </xdr:cNvPr>
        <xdr:cNvSpPr/>
      </xdr:nvSpPr>
      <xdr:spPr>
        <a:xfrm>
          <a:off x="7122583" y="1068917"/>
          <a:ext cx="2730500" cy="4656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002060"/>
              </a:solidFill>
              <a:effectLst/>
              <a:latin typeface="+mn-lt"/>
              <a:ea typeface="+mn-ea"/>
              <a:cs typeface="+mn-cs"/>
            </a:rPr>
            <a:t>Health category aisle customer </a:t>
          </a:r>
          <a:endParaRPr lang="en-AU">
            <a:solidFill>
              <a:srgbClr val="002060"/>
            </a:solidFill>
            <a:effectLst/>
          </a:endParaRPr>
        </a:p>
        <a:p>
          <a:pPr algn="ctr"/>
          <a:r>
            <a:rPr lang="en-AU" sz="1100" b="1" u="none" baseline="0">
              <a:solidFill>
                <a:srgbClr val="002060"/>
              </a:solidFill>
              <a:latin typeface="+mn-lt"/>
              <a:ea typeface="Tahoma" pitchFamily="34" charset="0"/>
              <a:cs typeface="Tahoma" pitchFamily="34" charset="0"/>
            </a:rPr>
            <a:t>basket size ratio</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4</xdr:col>
      <xdr:colOff>349250</xdr:colOff>
      <xdr:row>0</xdr:row>
      <xdr:rowOff>201084</xdr:rowOff>
    </xdr:from>
    <xdr:to>
      <xdr:col>14</xdr:col>
      <xdr:colOff>423333</xdr:colOff>
      <xdr:row>2</xdr:row>
      <xdr:rowOff>179917</xdr:rowOff>
    </xdr:to>
    <xdr:sp macro="" textlink="">
      <xdr:nvSpPr>
        <xdr:cNvPr id="23" name="Rectangle 22">
          <a:extLst>
            <a:ext uri="{FF2B5EF4-FFF2-40B4-BE49-F238E27FC236}">
              <a16:creationId xmlns:a16="http://schemas.microsoft.com/office/drawing/2014/main" id="{00000000-0008-0000-0900-000017000000}"/>
            </a:ext>
          </a:extLst>
        </xdr:cNvPr>
        <xdr:cNvSpPr/>
      </xdr:nvSpPr>
      <xdr:spPr>
        <a:xfrm>
          <a:off x="2592917" y="201084"/>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BUSINESS METRICS - COMMERCIAL PERFORMANCE </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12</xdr:col>
      <xdr:colOff>21167</xdr:colOff>
      <xdr:row>2</xdr:row>
      <xdr:rowOff>0</xdr:rowOff>
    </xdr:from>
    <xdr:to>
      <xdr:col>18</xdr:col>
      <xdr:colOff>539753</xdr:colOff>
      <xdr:row>3</xdr:row>
      <xdr:rowOff>179917</xdr:rowOff>
    </xdr:to>
    <xdr:cxnSp macro="">
      <xdr:nvCxnSpPr>
        <xdr:cNvPr id="22" name="Straight Arrow Connector 21">
          <a:extLst>
            <a:ext uri="{FF2B5EF4-FFF2-40B4-BE49-F238E27FC236}">
              <a16:creationId xmlns:a16="http://schemas.microsoft.com/office/drawing/2014/main" id="{00000000-0008-0000-0900-000016000000}"/>
            </a:ext>
          </a:extLst>
        </xdr:cNvPr>
        <xdr:cNvCxnSpPr/>
      </xdr:nvCxnSpPr>
      <xdr:spPr>
        <a:xfrm flipH="1">
          <a:off x="6752167" y="730250"/>
          <a:ext cx="3884086"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275167</xdr:colOff>
      <xdr:row>4</xdr:row>
      <xdr:rowOff>0</xdr:rowOff>
    </xdr:from>
    <xdr:to>
      <xdr:col>18</xdr:col>
      <xdr:colOff>247650</xdr:colOff>
      <xdr:row>18</xdr:row>
      <xdr:rowOff>19050</xdr:rowOff>
    </xdr:to>
    <xdr:sp macro="" textlink="">
      <xdr:nvSpPr>
        <xdr:cNvPr id="21428" name="Rectangle 21427">
          <a:extLst>
            <a:ext uri="{FF2B5EF4-FFF2-40B4-BE49-F238E27FC236}">
              <a16:creationId xmlns:a16="http://schemas.microsoft.com/office/drawing/2014/main" id="{00000000-0008-0000-0900-0000B4530000}"/>
            </a:ext>
          </a:extLst>
        </xdr:cNvPr>
        <xdr:cNvSpPr/>
      </xdr:nvSpPr>
      <xdr:spPr>
        <a:xfrm>
          <a:off x="7006167" y="1312333"/>
          <a:ext cx="3337983" cy="2738967"/>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17</xdr:row>
      <xdr:rowOff>137583</xdr:rowOff>
    </xdr:from>
    <xdr:to>
      <xdr:col>5</xdr:col>
      <xdr:colOff>433917</xdr:colOff>
      <xdr:row>20</xdr:row>
      <xdr:rowOff>116417</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a:xfrm>
          <a:off x="1778000" y="3979333"/>
          <a:ext cx="1460500" cy="550334"/>
        </a:xfrm>
        <a:prstGeom prst="straightConnector1">
          <a:avLst/>
        </a:prstGeom>
        <a:ln w="9525" cap="flat" cmpd="sng" algn="ctr">
          <a:solidFill>
            <a:schemeClr val="accent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306917</xdr:colOff>
      <xdr:row>17</xdr:row>
      <xdr:rowOff>116417</xdr:rowOff>
    </xdr:from>
    <xdr:to>
      <xdr:col>9</xdr:col>
      <xdr:colOff>105833</xdr:colOff>
      <xdr:row>20</xdr:row>
      <xdr:rowOff>116417</xdr:rowOff>
    </xdr:to>
    <xdr:cxnSp macro="">
      <xdr:nvCxnSpPr>
        <xdr:cNvPr id="27" name="Straight Arrow Connector 26">
          <a:extLst>
            <a:ext uri="{FF2B5EF4-FFF2-40B4-BE49-F238E27FC236}">
              <a16:creationId xmlns:a16="http://schemas.microsoft.com/office/drawing/2014/main" id="{00000000-0008-0000-0900-00001B000000}"/>
            </a:ext>
          </a:extLst>
        </xdr:cNvPr>
        <xdr:cNvCxnSpPr/>
      </xdr:nvCxnSpPr>
      <xdr:spPr>
        <a:xfrm flipH="1">
          <a:off x="3672417" y="3958167"/>
          <a:ext cx="1481666" cy="571500"/>
        </a:xfrm>
        <a:prstGeom prst="straightConnector1">
          <a:avLst/>
        </a:prstGeom>
        <a:ln w="9525" cap="flat" cmpd="sng" algn="ctr">
          <a:solidFill>
            <a:schemeClr val="accent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0</xdr:col>
      <xdr:colOff>0</xdr:colOff>
      <xdr:row>8</xdr:row>
      <xdr:rowOff>177801</xdr:rowOff>
    </xdr:from>
    <xdr:to>
      <xdr:col>5</xdr:col>
      <xdr:colOff>366702</xdr:colOff>
      <xdr:row>17</xdr:row>
      <xdr:rowOff>1</xdr:rowOff>
    </xdr:to>
    <xdr:pic>
      <xdr:nvPicPr>
        <xdr:cNvPr id="26" name="M.15">
          <a:extLst>
            <a:ext uri="{FF2B5EF4-FFF2-40B4-BE49-F238E27FC236}">
              <a16:creationId xmlns:a16="http://schemas.microsoft.com/office/drawing/2014/main" id="{00000000-0008-0000-0900-00001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6758"/>
        <a:stretch/>
      </xdr:blipFill>
      <xdr:spPr bwMode="auto">
        <a:xfrm>
          <a:off x="0" y="2286001"/>
          <a:ext cx="2991369" cy="149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220134</xdr:colOff>
      <xdr:row>8</xdr:row>
      <xdr:rowOff>16934</xdr:rowOff>
    </xdr:from>
    <xdr:to>
      <xdr:col>11</xdr:col>
      <xdr:colOff>478674</xdr:colOff>
      <xdr:row>17</xdr:row>
      <xdr:rowOff>50800</xdr:rowOff>
    </xdr:to>
    <xdr:pic>
      <xdr:nvPicPr>
        <xdr:cNvPr id="28" name="M.16">
          <a:extLst>
            <a:ext uri="{FF2B5EF4-FFF2-40B4-BE49-F238E27FC236}">
              <a16:creationId xmlns:a16="http://schemas.microsoft.com/office/drawing/2014/main" id="{00000000-0008-0000-0900-00001C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5838"/>
        <a:stretch/>
      </xdr:blipFill>
      <xdr:spPr bwMode="auto">
        <a:xfrm>
          <a:off x="3369734" y="2125134"/>
          <a:ext cx="2883207" cy="1710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49745</xdr:colOff>
      <xdr:row>27</xdr:row>
      <xdr:rowOff>137586</xdr:rowOff>
    </xdr:from>
    <xdr:to>
      <xdr:col>8</xdr:col>
      <xdr:colOff>406350</xdr:colOff>
      <xdr:row>36</xdr:row>
      <xdr:rowOff>50801</xdr:rowOff>
    </xdr:to>
    <xdr:pic>
      <xdr:nvPicPr>
        <xdr:cNvPr id="17446" name="M.26B">
          <a:extLst>
            <a:ext uri="{FF2B5EF4-FFF2-40B4-BE49-F238E27FC236}">
              <a16:creationId xmlns:a16="http://schemas.microsoft.com/office/drawing/2014/main" id="{00000000-0008-0000-0900-00002644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 b="46872"/>
        <a:stretch/>
      </xdr:blipFill>
      <xdr:spPr bwMode="auto">
        <a:xfrm>
          <a:off x="1624545" y="5725586"/>
          <a:ext cx="2981272" cy="1555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273532</xdr:colOff>
      <xdr:row>26</xdr:row>
      <xdr:rowOff>107957</xdr:rowOff>
    </xdr:from>
    <xdr:to>
      <xdr:col>14</xdr:col>
      <xdr:colOff>483656</xdr:colOff>
      <xdr:row>36</xdr:row>
      <xdr:rowOff>50800</xdr:rowOff>
    </xdr:to>
    <xdr:pic>
      <xdr:nvPicPr>
        <xdr:cNvPr id="21831" name="M.26C">
          <a:extLst>
            <a:ext uri="{FF2B5EF4-FFF2-40B4-BE49-F238E27FC236}">
              <a16:creationId xmlns:a16="http://schemas.microsoft.com/office/drawing/2014/main" id="{00000000-0008-0000-0900-00004755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3242"/>
        <a:stretch/>
      </xdr:blipFill>
      <xdr:spPr bwMode="auto">
        <a:xfrm>
          <a:off x="4997932" y="5509690"/>
          <a:ext cx="2834791" cy="1771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377064</xdr:colOff>
      <xdr:row>27</xdr:row>
      <xdr:rowOff>118533</xdr:rowOff>
    </xdr:from>
    <xdr:to>
      <xdr:col>21</xdr:col>
      <xdr:colOff>463211</xdr:colOff>
      <xdr:row>36</xdr:row>
      <xdr:rowOff>59267</xdr:rowOff>
    </xdr:to>
    <xdr:pic>
      <xdr:nvPicPr>
        <xdr:cNvPr id="21412" name="M.26">
          <a:extLst>
            <a:ext uri="{FF2B5EF4-FFF2-40B4-BE49-F238E27FC236}">
              <a16:creationId xmlns:a16="http://schemas.microsoft.com/office/drawing/2014/main" id="{00000000-0008-0000-0900-0000A453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47814"/>
        <a:stretch/>
      </xdr:blipFill>
      <xdr:spPr bwMode="auto">
        <a:xfrm>
          <a:off x="8251064" y="5706533"/>
          <a:ext cx="3235747" cy="1583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505887</xdr:colOff>
      <xdr:row>46</xdr:row>
      <xdr:rowOff>151849</xdr:rowOff>
    </xdr:from>
    <xdr:to>
      <xdr:col>7</xdr:col>
      <xdr:colOff>347135</xdr:colOff>
      <xdr:row>55</xdr:row>
      <xdr:rowOff>76200</xdr:rowOff>
    </xdr:to>
    <xdr:pic>
      <xdr:nvPicPr>
        <xdr:cNvPr id="17442" name="M.27">
          <a:extLst>
            <a:ext uri="{FF2B5EF4-FFF2-40B4-BE49-F238E27FC236}">
              <a16:creationId xmlns:a16="http://schemas.microsoft.com/office/drawing/2014/main" id="{00000000-0008-0000-0900-00002244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48581"/>
        <a:stretch/>
      </xdr:blipFill>
      <xdr:spPr bwMode="auto">
        <a:xfrm>
          <a:off x="1030820" y="9245049"/>
          <a:ext cx="2990848" cy="160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454619</xdr:colOff>
      <xdr:row>46</xdr:row>
      <xdr:rowOff>162276</xdr:rowOff>
    </xdr:from>
    <xdr:to>
      <xdr:col>16</xdr:col>
      <xdr:colOff>8465</xdr:colOff>
      <xdr:row>55</xdr:row>
      <xdr:rowOff>59267</xdr:rowOff>
    </xdr:to>
    <xdr:pic>
      <xdr:nvPicPr>
        <xdr:cNvPr id="21895" name="M.28">
          <a:extLst>
            <a:ext uri="{FF2B5EF4-FFF2-40B4-BE49-F238E27FC236}">
              <a16:creationId xmlns:a16="http://schemas.microsoft.com/office/drawing/2014/main" id="{00000000-0008-0000-0900-00008755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48498"/>
        <a:stretch/>
      </xdr:blipFill>
      <xdr:spPr bwMode="auto">
        <a:xfrm>
          <a:off x="5179019" y="9255476"/>
          <a:ext cx="3228379" cy="1573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4</xdr:row>
      <xdr:rowOff>114301</xdr:rowOff>
    </xdr:from>
    <xdr:to>
      <xdr:col>15</xdr:col>
      <xdr:colOff>126261</xdr:colOff>
      <xdr:row>43</xdr:row>
      <xdr:rowOff>28576</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2667000" y="685801"/>
          <a:ext cx="5460261" cy="54864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AU" sz="1050" b="0" u="none" baseline="0">
              <a:solidFill>
                <a:srgbClr val="002060"/>
              </a:solidFill>
            </a:rPr>
            <a:t>.</a:t>
          </a:r>
          <a:endParaRPr lang="en-AU" sz="1050" b="0" u="none">
            <a:solidFill>
              <a:srgbClr val="002060"/>
            </a:solidFill>
          </a:endParaRPr>
        </a:p>
      </xdr:txBody>
    </xdr:sp>
    <xdr:clientData/>
  </xdr:twoCellAnchor>
  <xdr:twoCellAnchor>
    <xdr:from>
      <xdr:col>4</xdr:col>
      <xdr:colOff>476251</xdr:colOff>
      <xdr:row>1</xdr:row>
      <xdr:rowOff>0</xdr:rowOff>
    </xdr:from>
    <xdr:to>
      <xdr:col>15</xdr:col>
      <xdr:colOff>180975</xdr:colOff>
      <xdr:row>3</xdr:row>
      <xdr:rowOff>104775</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2609851" y="142875"/>
          <a:ext cx="5572124" cy="39052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latin typeface="Tahoma" pitchFamily="34" charset="0"/>
              <a:ea typeface="Tahoma" pitchFamily="34" charset="0"/>
              <a:cs typeface="Tahoma" pitchFamily="34" charset="0"/>
            </a:rPr>
            <a:t>Hypothesis for optimum success</a:t>
          </a:r>
        </a:p>
      </xdr:txBody>
    </xdr:sp>
    <xdr:clientData/>
  </xdr:twoCellAnchor>
  <xdr:twoCellAnchor>
    <xdr:from>
      <xdr:col>5</xdr:col>
      <xdr:colOff>2</xdr:colOff>
      <xdr:row>40</xdr:row>
      <xdr:rowOff>76200</xdr:rowOff>
    </xdr:from>
    <xdr:to>
      <xdr:col>15</xdr:col>
      <xdr:colOff>123826</xdr:colOff>
      <xdr:row>43</xdr:row>
      <xdr:rowOff>38100</xdr:rowOff>
    </xdr:to>
    <xdr:sp macro="" textlink="">
      <xdr:nvSpPr>
        <xdr:cNvPr id="6" name="Rectangle 5">
          <a:extLst>
            <a:ext uri="{FF2B5EF4-FFF2-40B4-BE49-F238E27FC236}">
              <a16:creationId xmlns:a16="http://schemas.microsoft.com/office/drawing/2014/main" id="{00000000-0008-0000-0A00-000006000000}"/>
            </a:ext>
          </a:extLst>
        </xdr:cNvPr>
        <xdr:cNvSpPr/>
      </xdr:nvSpPr>
      <xdr:spPr>
        <a:xfrm>
          <a:off x="2667002" y="5791200"/>
          <a:ext cx="5457824" cy="39052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latin typeface="Tahoma" pitchFamily="34" charset="0"/>
              <a:ea typeface="Tahoma" pitchFamily="34" charset="0"/>
              <a:cs typeface="Tahoma" pitchFamily="34" charset="0"/>
            </a:rPr>
            <a:t>Maslow's</a:t>
          </a:r>
          <a:r>
            <a:rPr lang="en-AU" sz="1100" b="1" baseline="0">
              <a:solidFill>
                <a:srgbClr val="002060"/>
              </a:solidFill>
              <a:latin typeface="Tahoma" pitchFamily="34" charset="0"/>
              <a:ea typeface="Tahoma" pitchFamily="34" charset="0"/>
              <a:cs typeface="Tahoma" pitchFamily="34" charset="0"/>
            </a:rPr>
            <a:t> Hierarchy </a:t>
          </a:r>
        </a:p>
        <a:p>
          <a:pPr algn="ctr"/>
          <a:r>
            <a:rPr lang="en-AU" sz="1100" b="1" baseline="0">
              <a:solidFill>
                <a:srgbClr val="002060"/>
              </a:solidFill>
              <a:latin typeface="Tahoma" pitchFamily="34" charset="0"/>
              <a:ea typeface="Tahoma" pitchFamily="34" charset="0"/>
              <a:cs typeface="Tahoma" pitchFamily="34" charset="0"/>
            </a:rPr>
            <a:t>- Total hosting -&gt; complete solution model for health customers</a:t>
          </a:r>
          <a:endParaRPr lang="en-AU" sz="1100" b="1">
            <a:solidFill>
              <a:srgbClr val="002060"/>
            </a:solidFill>
            <a:latin typeface="Tahoma" pitchFamily="34" charset="0"/>
            <a:ea typeface="Tahoma" pitchFamily="34" charset="0"/>
            <a:cs typeface="Tahoma" pitchFamily="34" charset="0"/>
          </a:endParaRPr>
        </a:p>
      </xdr:txBody>
    </xdr:sp>
    <xdr:clientData/>
  </xdr:twoCellAnchor>
  <xdr:twoCellAnchor editAs="oneCell">
    <xdr:from>
      <xdr:col>5</xdr:col>
      <xdr:colOff>28576</xdr:colOff>
      <xdr:row>7</xdr:row>
      <xdr:rowOff>19049</xdr:rowOff>
    </xdr:from>
    <xdr:to>
      <xdr:col>15</xdr:col>
      <xdr:colOff>108776</xdr:colOff>
      <xdr:row>33</xdr:row>
      <xdr:rowOff>93804</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
        <a:stretch>
          <a:fillRect/>
        </a:stretch>
      </xdr:blipFill>
      <xdr:spPr>
        <a:xfrm>
          <a:off x="2695576" y="1019174"/>
          <a:ext cx="5414200" cy="37895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xdr:colOff>
      <xdr:row>0</xdr:row>
      <xdr:rowOff>23814</xdr:rowOff>
    </xdr:from>
    <xdr:to>
      <xdr:col>39</xdr:col>
      <xdr:colOff>242885</xdr:colOff>
      <xdr:row>2</xdr:row>
      <xdr:rowOff>95249</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a:xfrm>
          <a:off x="214312" y="23814"/>
          <a:ext cx="18054636" cy="47624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600" b="1" u="none">
              <a:solidFill>
                <a:srgbClr val="002060"/>
              </a:solidFill>
              <a:latin typeface="Tahoma" pitchFamily="34" charset="0"/>
              <a:ea typeface="Tahoma" pitchFamily="34" charset="0"/>
              <a:cs typeface="Tahoma" pitchFamily="34" charset="0"/>
            </a:rPr>
            <a:t>Top Priority</a:t>
          </a:r>
          <a:r>
            <a:rPr lang="en-AU" sz="1600" b="1" u="none" baseline="0">
              <a:solidFill>
                <a:srgbClr val="002060"/>
              </a:solidFill>
              <a:latin typeface="Tahoma" pitchFamily="34" charset="0"/>
              <a:ea typeface="Tahoma" pitchFamily="34" charset="0"/>
              <a:cs typeface="Tahoma" pitchFamily="34" charset="0"/>
            </a:rPr>
            <a:t> Opportunities ... Change agenda</a:t>
          </a:r>
          <a:endParaRPr lang="en-AU" sz="1600" b="1" u="none">
            <a:solidFill>
              <a:srgbClr val="002060"/>
            </a:solidFill>
            <a:latin typeface="Tahoma" pitchFamily="34" charset="0"/>
            <a:ea typeface="Tahoma" pitchFamily="34" charset="0"/>
            <a:cs typeface="Tahoma" pitchFamily="34" charset="0"/>
          </a:endParaRPr>
        </a:p>
      </xdr:txBody>
    </xdr:sp>
    <xdr:clientData/>
  </xdr:twoCellAnchor>
  <xdr:twoCellAnchor>
    <xdr:from>
      <xdr:col>1</xdr:col>
      <xdr:colOff>7142</xdr:colOff>
      <xdr:row>31</xdr:row>
      <xdr:rowOff>150020</xdr:rowOff>
    </xdr:from>
    <xdr:to>
      <xdr:col>13</xdr:col>
      <xdr:colOff>202405</xdr:colOff>
      <xdr:row>34</xdr:row>
      <xdr:rowOff>47625</xdr:rowOff>
    </xdr:to>
    <xdr:sp macro="" textlink="">
      <xdr:nvSpPr>
        <xdr:cNvPr id="19" name="Rectangle 18">
          <a:extLst>
            <a:ext uri="{FF2B5EF4-FFF2-40B4-BE49-F238E27FC236}">
              <a16:creationId xmlns:a16="http://schemas.microsoft.com/office/drawing/2014/main" id="{00000000-0008-0000-0B00-000013000000}"/>
            </a:ext>
          </a:extLst>
        </xdr:cNvPr>
        <xdr:cNvSpPr/>
      </xdr:nvSpPr>
      <xdr:spPr>
        <a:xfrm>
          <a:off x="221455" y="1804989"/>
          <a:ext cx="5981700" cy="576261"/>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400" b="1" u="none">
              <a:solidFill>
                <a:srgbClr val="002060"/>
              </a:solidFill>
              <a:latin typeface="Tahoma" pitchFamily="34" charset="0"/>
              <a:ea typeface="Tahoma" pitchFamily="34" charset="0"/>
              <a:cs typeface="Tahoma" pitchFamily="34" charset="0"/>
            </a:rPr>
            <a:t>Customer</a:t>
          </a:r>
          <a:r>
            <a:rPr lang="en-AU" sz="1400" b="1" u="none" baseline="0">
              <a:solidFill>
                <a:srgbClr val="002060"/>
              </a:solidFill>
              <a:latin typeface="Tahoma" pitchFamily="34" charset="0"/>
              <a:ea typeface="Tahoma" pitchFamily="34" charset="0"/>
              <a:cs typeface="Tahoma" pitchFamily="34" charset="0"/>
            </a:rPr>
            <a:t> engagement </a:t>
          </a:r>
          <a:r>
            <a:rPr lang="en-AU" sz="1400" b="1" u="none">
              <a:solidFill>
                <a:srgbClr val="002060"/>
              </a:solidFill>
              <a:latin typeface="Tahoma" pitchFamily="34" charset="0"/>
              <a:ea typeface="Tahoma" pitchFamily="34" charset="0"/>
              <a:cs typeface="Tahoma" pitchFamily="34" charset="0"/>
            </a:rPr>
            <a:t>- Script</a:t>
          </a:r>
        </a:p>
      </xdr:txBody>
    </xdr:sp>
    <xdr:clientData/>
  </xdr:twoCellAnchor>
  <xdr:twoCellAnchor>
    <xdr:from>
      <xdr:col>18</xdr:col>
      <xdr:colOff>142839</xdr:colOff>
      <xdr:row>13</xdr:row>
      <xdr:rowOff>102394</xdr:rowOff>
    </xdr:from>
    <xdr:to>
      <xdr:col>24</xdr:col>
      <xdr:colOff>261901</xdr:colOff>
      <xdr:row>15</xdr:row>
      <xdr:rowOff>92867</xdr:rowOff>
    </xdr:to>
    <xdr:sp macro="" textlink="">
      <xdr:nvSpPr>
        <xdr:cNvPr id="21" name="Rectangle 20">
          <a:extLst>
            <a:ext uri="{FF2B5EF4-FFF2-40B4-BE49-F238E27FC236}">
              <a16:creationId xmlns:a16="http://schemas.microsoft.com/office/drawing/2014/main" id="{00000000-0008-0000-0B00-000015000000}"/>
            </a:ext>
          </a:extLst>
        </xdr:cNvPr>
        <xdr:cNvSpPr/>
      </xdr:nvSpPr>
      <xdr:spPr>
        <a:xfrm>
          <a:off x="7846183" y="2709863"/>
          <a:ext cx="3333749" cy="371473"/>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400" b="1" u="none">
              <a:solidFill>
                <a:srgbClr val="002060"/>
              </a:solidFill>
              <a:latin typeface="Tahoma" pitchFamily="34" charset="0"/>
              <a:ea typeface="Tahoma" pitchFamily="34" charset="0"/>
              <a:cs typeface="Tahoma" pitchFamily="34" charset="0"/>
            </a:rPr>
            <a:t>Service Structures</a:t>
          </a:r>
        </a:p>
      </xdr:txBody>
    </xdr:sp>
    <xdr:clientData/>
  </xdr:twoCellAnchor>
  <xdr:twoCellAnchor>
    <xdr:from>
      <xdr:col>18</xdr:col>
      <xdr:colOff>59531</xdr:colOff>
      <xdr:row>114</xdr:row>
      <xdr:rowOff>26194</xdr:rowOff>
    </xdr:from>
    <xdr:to>
      <xdr:col>24</xdr:col>
      <xdr:colOff>154781</xdr:colOff>
      <xdr:row>116</xdr:row>
      <xdr:rowOff>7142</xdr:rowOff>
    </xdr:to>
    <xdr:sp macro="" textlink="">
      <xdr:nvSpPr>
        <xdr:cNvPr id="22" name="Rectangle 21">
          <a:extLst>
            <a:ext uri="{FF2B5EF4-FFF2-40B4-BE49-F238E27FC236}">
              <a16:creationId xmlns:a16="http://schemas.microsoft.com/office/drawing/2014/main" id="{00000000-0008-0000-0B00-000016000000}"/>
            </a:ext>
          </a:extLst>
        </xdr:cNvPr>
        <xdr:cNvSpPr/>
      </xdr:nvSpPr>
      <xdr:spPr>
        <a:xfrm>
          <a:off x="5822156" y="15799594"/>
          <a:ext cx="3190875" cy="361948"/>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400" b="1" u="none">
              <a:solidFill>
                <a:srgbClr val="002060"/>
              </a:solidFill>
              <a:latin typeface="Tahoma" pitchFamily="34" charset="0"/>
              <a:ea typeface="Tahoma" pitchFamily="34" charset="0"/>
              <a:cs typeface="Tahoma" pitchFamily="34" charset="0"/>
            </a:rPr>
            <a:t>Continuous improvement</a:t>
          </a:r>
        </a:p>
      </xdr:txBody>
    </xdr:sp>
    <xdr:clientData/>
  </xdr:twoCellAnchor>
  <xdr:twoCellAnchor>
    <xdr:from>
      <xdr:col>5</xdr:col>
      <xdr:colOff>23813</xdr:colOff>
      <xdr:row>46</xdr:row>
      <xdr:rowOff>166687</xdr:rowOff>
    </xdr:from>
    <xdr:to>
      <xdr:col>10</xdr:col>
      <xdr:colOff>178595</xdr:colOff>
      <xdr:row>48</xdr:row>
      <xdr:rowOff>109538</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a:xfrm>
          <a:off x="1738313" y="8536781"/>
          <a:ext cx="2833688" cy="32385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Convert engagement to counsel</a:t>
          </a:r>
        </a:p>
      </xdr:txBody>
    </xdr:sp>
    <xdr:clientData/>
  </xdr:twoCellAnchor>
  <xdr:twoCellAnchor>
    <xdr:from>
      <xdr:col>5</xdr:col>
      <xdr:colOff>23813</xdr:colOff>
      <xdr:row>56</xdr:row>
      <xdr:rowOff>162457</xdr:rowOff>
    </xdr:from>
    <xdr:to>
      <xdr:col>10</xdr:col>
      <xdr:colOff>190501</xdr:colOff>
      <xdr:row>58</xdr:row>
      <xdr:rowOff>107157</xdr:rowOff>
    </xdr:to>
    <xdr:sp macro="" textlink="">
      <xdr:nvSpPr>
        <xdr:cNvPr id="24" name="Rectangle 23">
          <a:extLst>
            <a:ext uri="{FF2B5EF4-FFF2-40B4-BE49-F238E27FC236}">
              <a16:creationId xmlns:a16="http://schemas.microsoft.com/office/drawing/2014/main" id="{00000000-0008-0000-0B00-000018000000}"/>
            </a:ext>
          </a:extLst>
        </xdr:cNvPr>
        <xdr:cNvSpPr/>
      </xdr:nvSpPr>
      <xdr:spPr>
        <a:xfrm>
          <a:off x="1738313" y="10449457"/>
          <a:ext cx="2845594" cy="3257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Convert counsel to solution sales</a:t>
          </a:r>
        </a:p>
      </xdr:txBody>
    </xdr:sp>
    <xdr:clientData/>
  </xdr:twoCellAnchor>
  <xdr:twoCellAnchor>
    <xdr:from>
      <xdr:col>15</xdr:col>
      <xdr:colOff>4767</xdr:colOff>
      <xdr:row>31</xdr:row>
      <xdr:rowOff>150020</xdr:rowOff>
    </xdr:from>
    <xdr:to>
      <xdr:col>27</xdr:col>
      <xdr:colOff>0</xdr:colOff>
      <xdr:row>34</xdr:row>
      <xdr:rowOff>35719</xdr:rowOff>
    </xdr:to>
    <xdr:sp macro="" textlink="">
      <xdr:nvSpPr>
        <xdr:cNvPr id="27" name="Rectangle 26">
          <a:extLst>
            <a:ext uri="{FF2B5EF4-FFF2-40B4-BE49-F238E27FC236}">
              <a16:creationId xmlns:a16="http://schemas.microsoft.com/office/drawing/2014/main" id="{00000000-0008-0000-0B00-00001B000000}"/>
            </a:ext>
          </a:extLst>
        </xdr:cNvPr>
        <xdr:cNvSpPr/>
      </xdr:nvSpPr>
      <xdr:spPr>
        <a:xfrm>
          <a:off x="6743705" y="5674520"/>
          <a:ext cx="5460201" cy="373855"/>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marL="0" indent="0" algn="ctr"/>
          <a:r>
            <a:rPr lang="en-AU" sz="1400" b="1" u="none">
              <a:solidFill>
                <a:srgbClr val="002060"/>
              </a:solidFill>
              <a:latin typeface="Tahoma" pitchFamily="34" charset="0"/>
              <a:ea typeface="Tahoma" pitchFamily="34" charset="0"/>
              <a:cs typeface="Tahoma" pitchFamily="34" charset="0"/>
            </a:rPr>
            <a:t>Customer engagement - OTC</a:t>
          </a:r>
        </a:p>
      </xdr:txBody>
    </xdr:sp>
    <xdr:clientData/>
  </xdr:twoCellAnchor>
  <xdr:twoCellAnchor>
    <xdr:from>
      <xdr:col>4</xdr:col>
      <xdr:colOff>369093</xdr:colOff>
      <xdr:row>65</xdr:row>
      <xdr:rowOff>35719</xdr:rowOff>
    </xdr:from>
    <xdr:to>
      <xdr:col>10</xdr:col>
      <xdr:colOff>381000</xdr:colOff>
      <xdr:row>67</xdr:row>
      <xdr:rowOff>119064</xdr:rowOff>
    </xdr:to>
    <xdr:sp macro="" textlink="">
      <xdr:nvSpPr>
        <xdr:cNvPr id="29" name="Rectangle 28">
          <a:extLst>
            <a:ext uri="{FF2B5EF4-FFF2-40B4-BE49-F238E27FC236}">
              <a16:creationId xmlns:a16="http://schemas.microsoft.com/office/drawing/2014/main" id="{00000000-0008-0000-0B00-00001D000000}"/>
            </a:ext>
          </a:extLst>
        </xdr:cNvPr>
        <xdr:cNvSpPr/>
      </xdr:nvSpPr>
      <xdr:spPr>
        <a:xfrm>
          <a:off x="1547812" y="12799219"/>
          <a:ext cx="3226594" cy="3690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Optimise companion products</a:t>
          </a:r>
          <a:r>
            <a:rPr lang="en-AU" sz="1100" b="1" u="none" baseline="0">
              <a:solidFill>
                <a:srgbClr val="002060"/>
              </a:solidFill>
              <a:latin typeface="Tahoma" pitchFamily="34" charset="0"/>
              <a:ea typeface="Tahoma" pitchFamily="34" charset="0"/>
              <a:cs typeface="Tahoma" pitchFamily="34" charset="0"/>
            </a:rPr>
            <a:t> &amp; services</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11</xdr:col>
      <xdr:colOff>166687</xdr:colOff>
      <xdr:row>76</xdr:row>
      <xdr:rowOff>23813</xdr:rowOff>
    </xdr:from>
    <xdr:to>
      <xdr:col>14</xdr:col>
      <xdr:colOff>119063</xdr:colOff>
      <xdr:row>81</xdr:row>
      <xdr:rowOff>178593</xdr:rowOff>
    </xdr:to>
    <xdr:sp macro="" textlink="">
      <xdr:nvSpPr>
        <xdr:cNvPr id="33" name="Down Arrow 32">
          <a:extLst>
            <a:ext uri="{FF2B5EF4-FFF2-40B4-BE49-F238E27FC236}">
              <a16:creationId xmlns:a16="http://schemas.microsoft.com/office/drawing/2014/main" id="{00000000-0008-0000-0B00-000021000000}"/>
            </a:ext>
          </a:extLst>
        </xdr:cNvPr>
        <xdr:cNvSpPr/>
      </xdr:nvSpPr>
      <xdr:spPr>
        <a:xfrm>
          <a:off x="5095875" y="13037344"/>
          <a:ext cx="1226344" cy="1107280"/>
        </a:xfrm>
        <a:prstGeom prst="downArrow">
          <a:avLst>
            <a:gd name="adj1" fmla="val 50000"/>
            <a:gd name="adj2" fmla="val 5000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83343</xdr:colOff>
      <xdr:row>49</xdr:row>
      <xdr:rowOff>2</xdr:rowOff>
    </xdr:from>
    <xdr:to>
      <xdr:col>14</xdr:col>
      <xdr:colOff>464343</xdr:colOff>
      <xdr:row>57</xdr:row>
      <xdr:rowOff>3</xdr:rowOff>
    </xdr:to>
    <xdr:sp macro="" textlink="">
      <xdr:nvSpPr>
        <xdr:cNvPr id="37" name="Striped Right Arrow 36">
          <a:extLst>
            <a:ext uri="{FF2B5EF4-FFF2-40B4-BE49-F238E27FC236}">
              <a16:creationId xmlns:a16="http://schemas.microsoft.com/office/drawing/2014/main" id="{00000000-0008-0000-0B00-000025000000}"/>
            </a:ext>
          </a:extLst>
        </xdr:cNvPr>
        <xdr:cNvSpPr/>
      </xdr:nvSpPr>
      <xdr:spPr>
        <a:xfrm rot="5400000">
          <a:off x="7060405" y="4643440"/>
          <a:ext cx="1152526" cy="381000"/>
        </a:xfrm>
        <a:prstGeom prst="stripedRightArrow">
          <a:avLst>
            <a:gd name="adj1" fmla="val 50001"/>
            <a:gd name="adj2" fmla="val 5000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71437</xdr:colOff>
      <xdr:row>58</xdr:row>
      <xdr:rowOff>142875</xdr:rowOff>
    </xdr:from>
    <xdr:to>
      <xdr:col>14</xdr:col>
      <xdr:colOff>452437</xdr:colOff>
      <xdr:row>65</xdr:row>
      <xdr:rowOff>130969</xdr:rowOff>
    </xdr:to>
    <xdr:sp macro="" textlink="">
      <xdr:nvSpPr>
        <xdr:cNvPr id="38" name="Striped Right Arrow 37">
          <a:extLst>
            <a:ext uri="{FF2B5EF4-FFF2-40B4-BE49-F238E27FC236}">
              <a16:creationId xmlns:a16="http://schemas.microsoft.com/office/drawing/2014/main" id="{00000000-0008-0000-0B00-000026000000}"/>
            </a:ext>
          </a:extLst>
        </xdr:cNvPr>
        <xdr:cNvSpPr/>
      </xdr:nvSpPr>
      <xdr:spPr>
        <a:xfrm rot="5400000">
          <a:off x="7163990" y="6013847"/>
          <a:ext cx="921544" cy="381000"/>
        </a:xfrm>
        <a:prstGeom prst="stripedRightArrow">
          <a:avLst>
            <a:gd name="adj1" fmla="val 50001"/>
            <a:gd name="adj2" fmla="val 5000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369093</xdr:colOff>
      <xdr:row>46</xdr:row>
      <xdr:rowOff>166687</xdr:rowOff>
    </xdr:from>
    <xdr:to>
      <xdr:col>24</xdr:col>
      <xdr:colOff>142875</xdr:colOff>
      <xdr:row>48</xdr:row>
      <xdr:rowOff>109538</xdr:rowOff>
    </xdr:to>
    <xdr:sp macro="" textlink="">
      <xdr:nvSpPr>
        <xdr:cNvPr id="39" name="Rectangle 38">
          <a:extLst>
            <a:ext uri="{FF2B5EF4-FFF2-40B4-BE49-F238E27FC236}">
              <a16:creationId xmlns:a16="http://schemas.microsoft.com/office/drawing/2014/main" id="{00000000-0008-0000-0B00-000027000000}"/>
            </a:ext>
          </a:extLst>
        </xdr:cNvPr>
        <xdr:cNvSpPr/>
      </xdr:nvSpPr>
      <xdr:spPr>
        <a:xfrm>
          <a:off x="8072437" y="6631781"/>
          <a:ext cx="2988469" cy="32385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Convert engagement to counsel</a:t>
          </a:r>
        </a:p>
      </xdr:txBody>
    </xdr:sp>
    <xdr:clientData/>
  </xdr:twoCellAnchor>
  <xdr:twoCellAnchor>
    <xdr:from>
      <xdr:col>18</xdr:col>
      <xdr:colOff>119062</xdr:colOff>
      <xdr:row>83</xdr:row>
      <xdr:rowOff>119062</xdr:rowOff>
    </xdr:from>
    <xdr:to>
      <xdr:col>24</xdr:col>
      <xdr:colOff>216694</xdr:colOff>
      <xdr:row>85</xdr:row>
      <xdr:rowOff>128587</xdr:rowOff>
    </xdr:to>
    <xdr:sp macro="" textlink="">
      <xdr:nvSpPr>
        <xdr:cNvPr id="30" name="Rectangle 29">
          <a:extLst>
            <a:ext uri="{FF2B5EF4-FFF2-40B4-BE49-F238E27FC236}">
              <a16:creationId xmlns:a16="http://schemas.microsoft.com/office/drawing/2014/main" id="{00000000-0008-0000-0B00-00001E000000}"/>
            </a:ext>
          </a:extLst>
        </xdr:cNvPr>
        <xdr:cNvSpPr/>
      </xdr:nvSpPr>
      <xdr:spPr>
        <a:xfrm>
          <a:off x="5905500" y="13858875"/>
          <a:ext cx="3205163" cy="390525"/>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400" b="1" u="none" baseline="0">
              <a:solidFill>
                <a:srgbClr val="002060"/>
              </a:solidFill>
              <a:latin typeface="Tahoma" pitchFamily="34" charset="0"/>
              <a:ea typeface="Tahoma" pitchFamily="34" charset="0"/>
              <a:cs typeface="Tahoma" pitchFamily="34" charset="0"/>
            </a:rPr>
            <a:t>Health sales</a:t>
          </a:r>
          <a:endParaRPr lang="en-AU" sz="1400" b="1" u="none">
            <a:solidFill>
              <a:srgbClr val="002060"/>
            </a:solidFill>
            <a:latin typeface="Tahoma" pitchFamily="34" charset="0"/>
            <a:ea typeface="Tahoma" pitchFamily="34" charset="0"/>
            <a:cs typeface="Tahoma" pitchFamily="34" charset="0"/>
          </a:endParaRPr>
        </a:p>
      </xdr:txBody>
    </xdr:sp>
    <xdr:clientData/>
  </xdr:twoCellAnchor>
  <xdr:twoCellAnchor>
    <xdr:from>
      <xdr:col>18</xdr:col>
      <xdr:colOff>392906</xdr:colOff>
      <xdr:row>56</xdr:row>
      <xdr:rowOff>178594</xdr:rowOff>
    </xdr:from>
    <xdr:to>
      <xdr:col>23</xdr:col>
      <xdr:colOff>519110</xdr:colOff>
      <xdr:row>58</xdr:row>
      <xdr:rowOff>123294</xdr:rowOff>
    </xdr:to>
    <xdr:sp macro="" textlink="">
      <xdr:nvSpPr>
        <xdr:cNvPr id="20" name="Rectangle 19">
          <a:extLst>
            <a:ext uri="{FF2B5EF4-FFF2-40B4-BE49-F238E27FC236}">
              <a16:creationId xmlns:a16="http://schemas.microsoft.com/office/drawing/2014/main" id="{00000000-0008-0000-0B00-000014000000}"/>
            </a:ext>
          </a:extLst>
        </xdr:cNvPr>
        <xdr:cNvSpPr/>
      </xdr:nvSpPr>
      <xdr:spPr>
        <a:xfrm>
          <a:off x="8632031" y="5488782"/>
          <a:ext cx="3340892" cy="3257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Convert counsel to solution sales</a:t>
          </a:r>
        </a:p>
      </xdr:txBody>
    </xdr:sp>
    <xdr:clientData/>
  </xdr:twoCellAnchor>
  <xdr:twoCellAnchor>
    <xdr:from>
      <xdr:col>18</xdr:col>
      <xdr:colOff>107156</xdr:colOff>
      <xdr:row>65</xdr:row>
      <xdr:rowOff>23813</xdr:rowOff>
    </xdr:from>
    <xdr:to>
      <xdr:col>24</xdr:col>
      <xdr:colOff>59531</xdr:colOff>
      <xdr:row>67</xdr:row>
      <xdr:rowOff>79643</xdr:rowOff>
    </xdr:to>
    <xdr:sp macro="" textlink="">
      <xdr:nvSpPr>
        <xdr:cNvPr id="28" name="Rectangle 27">
          <a:extLst>
            <a:ext uri="{FF2B5EF4-FFF2-40B4-BE49-F238E27FC236}">
              <a16:creationId xmlns:a16="http://schemas.microsoft.com/office/drawing/2014/main" id="{00000000-0008-0000-0B00-00001C000000}"/>
            </a:ext>
          </a:extLst>
        </xdr:cNvPr>
        <xdr:cNvSpPr/>
      </xdr:nvSpPr>
      <xdr:spPr>
        <a:xfrm>
          <a:off x="7810500" y="6667501"/>
          <a:ext cx="3167062" cy="34158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Optimise companion products</a:t>
          </a:r>
          <a:r>
            <a:rPr lang="en-AU" sz="1100" b="1" u="none" baseline="0">
              <a:solidFill>
                <a:srgbClr val="002060"/>
              </a:solidFill>
              <a:latin typeface="Tahoma" pitchFamily="34" charset="0"/>
              <a:ea typeface="Tahoma" pitchFamily="34" charset="0"/>
              <a:cs typeface="Tahoma" pitchFamily="34" charset="0"/>
            </a:rPr>
            <a:t> &amp; services</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5</xdr:col>
      <xdr:colOff>35718</xdr:colOff>
      <xdr:row>35</xdr:row>
      <xdr:rowOff>142874</xdr:rowOff>
    </xdr:from>
    <xdr:to>
      <xdr:col>10</xdr:col>
      <xdr:colOff>214312</xdr:colOff>
      <xdr:row>37</xdr:row>
      <xdr:rowOff>119061</xdr:rowOff>
    </xdr:to>
    <xdr:sp macro="" textlink="">
      <xdr:nvSpPr>
        <xdr:cNvPr id="40" name="Rectangle 39">
          <a:extLst>
            <a:ext uri="{FF2B5EF4-FFF2-40B4-BE49-F238E27FC236}">
              <a16:creationId xmlns:a16="http://schemas.microsoft.com/office/drawing/2014/main" id="{00000000-0008-0000-0B00-000028000000}"/>
            </a:ext>
          </a:extLst>
        </xdr:cNvPr>
        <xdr:cNvSpPr/>
      </xdr:nvSpPr>
      <xdr:spPr>
        <a:xfrm>
          <a:off x="1750218" y="7965280"/>
          <a:ext cx="2857500" cy="35718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Convert stay to engaged</a:t>
          </a:r>
        </a:p>
      </xdr:txBody>
    </xdr:sp>
    <xdr:clientData/>
  </xdr:twoCellAnchor>
  <xdr:twoCellAnchor>
    <xdr:from>
      <xdr:col>14</xdr:col>
      <xdr:colOff>80963</xdr:colOff>
      <xdr:row>37</xdr:row>
      <xdr:rowOff>166690</xdr:rowOff>
    </xdr:from>
    <xdr:to>
      <xdr:col>14</xdr:col>
      <xdr:colOff>461963</xdr:colOff>
      <xdr:row>47</xdr:row>
      <xdr:rowOff>21432</xdr:rowOff>
    </xdr:to>
    <xdr:sp macro="" textlink="">
      <xdr:nvSpPr>
        <xdr:cNvPr id="41" name="Striped Right Arrow 34">
          <a:extLst>
            <a:ext uri="{FF2B5EF4-FFF2-40B4-BE49-F238E27FC236}">
              <a16:creationId xmlns:a16="http://schemas.microsoft.com/office/drawing/2014/main" id="{00000000-0008-0000-0B00-000029000000}"/>
            </a:ext>
          </a:extLst>
        </xdr:cNvPr>
        <xdr:cNvSpPr/>
      </xdr:nvSpPr>
      <xdr:spPr>
        <a:xfrm rot="5400000">
          <a:off x="7267576" y="2838452"/>
          <a:ext cx="795336" cy="381000"/>
        </a:xfrm>
        <a:prstGeom prst="stripedRightArrow">
          <a:avLst>
            <a:gd name="adj1" fmla="val 50001"/>
            <a:gd name="adj2" fmla="val 5000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28</xdr:col>
      <xdr:colOff>4767</xdr:colOff>
      <xdr:row>31</xdr:row>
      <xdr:rowOff>150020</xdr:rowOff>
    </xdr:from>
    <xdr:to>
      <xdr:col>40</xdr:col>
      <xdr:colOff>0</xdr:colOff>
      <xdr:row>34</xdr:row>
      <xdr:rowOff>39689</xdr:rowOff>
    </xdr:to>
    <xdr:sp macro="" textlink="">
      <xdr:nvSpPr>
        <xdr:cNvPr id="25" name="Rectangle 24">
          <a:extLst>
            <a:ext uri="{FF2B5EF4-FFF2-40B4-BE49-F238E27FC236}">
              <a16:creationId xmlns:a16="http://schemas.microsoft.com/office/drawing/2014/main" id="{00000000-0008-0000-0B00-000019000000}"/>
            </a:ext>
          </a:extLst>
        </xdr:cNvPr>
        <xdr:cNvSpPr/>
      </xdr:nvSpPr>
      <xdr:spPr>
        <a:xfrm>
          <a:off x="12792080" y="5674520"/>
          <a:ext cx="5495920" cy="377825"/>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marL="0" indent="0" algn="ctr"/>
          <a:r>
            <a:rPr lang="en-AU" sz="1400" b="1" u="none">
              <a:solidFill>
                <a:srgbClr val="002060"/>
              </a:solidFill>
              <a:latin typeface="Tahoma" pitchFamily="34" charset="0"/>
              <a:ea typeface="Tahoma" pitchFamily="34" charset="0"/>
              <a:cs typeface="Tahoma" pitchFamily="34" charset="0"/>
            </a:rPr>
            <a:t>Customer engagement</a:t>
          </a:r>
          <a:r>
            <a:rPr lang="en-AU" sz="1400" b="1" u="none" baseline="0">
              <a:solidFill>
                <a:srgbClr val="002060"/>
              </a:solidFill>
              <a:latin typeface="Tahoma" pitchFamily="34" charset="0"/>
              <a:ea typeface="Tahoma" pitchFamily="34" charset="0"/>
              <a:cs typeface="Tahoma" pitchFamily="34" charset="0"/>
            </a:rPr>
            <a:t> </a:t>
          </a:r>
          <a:r>
            <a:rPr lang="en-AU" sz="1400" b="1" u="none">
              <a:solidFill>
                <a:srgbClr val="002060"/>
              </a:solidFill>
              <a:latin typeface="Tahoma" pitchFamily="34" charset="0"/>
              <a:ea typeface="Tahoma" pitchFamily="34" charset="0"/>
              <a:cs typeface="Tahoma" pitchFamily="34" charset="0"/>
            </a:rPr>
            <a:t>- Health aisles</a:t>
          </a:r>
        </a:p>
      </xdr:txBody>
    </xdr:sp>
    <xdr:clientData/>
  </xdr:twoCellAnchor>
  <xdr:twoCellAnchor>
    <xdr:from>
      <xdr:col>27</xdr:col>
      <xdr:colOff>111917</xdr:colOff>
      <xdr:row>49</xdr:row>
      <xdr:rowOff>11907</xdr:rowOff>
    </xdr:from>
    <xdr:to>
      <xdr:col>27</xdr:col>
      <xdr:colOff>492917</xdr:colOff>
      <xdr:row>57</xdr:row>
      <xdr:rowOff>11908</xdr:rowOff>
    </xdr:to>
    <xdr:sp macro="" textlink="">
      <xdr:nvSpPr>
        <xdr:cNvPr id="43" name="Striped Right Arrow 36">
          <a:extLst>
            <a:ext uri="{FF2B5EF4-FFF2-40B4-BE49-F238E27FC236}">
              <a16:creationId xmlns:a16="http://schemas.microsoft.com/office/drawing/2014/main" id="{00000000-0008-0000-0B00-00002B000000}"/>
            </a:ext>
          </a:extLst>
        </xdr:cNvPr>
        <xdr:cNvSpPr/>
      </xdr:nvSpPr>
      <xdr:spPr>
        <a:xfrm rot="5400000">
          <a:off x="12809932" y="4554142"/>
          <a:ext cx="1535908" cy="381000"/>
        </a:xfrm>
        <a:prstGeom prst="stripedRightArrow">
          <a:avLst>
            <a:gd name="adj1" fmla="val 50001"/>
            <a:gd name="adj2" fmla="val 5000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27</xdr:col>
      <xdr:colOff>100011</xdr:colOff>
      <xdr:row>58</xdr:row>
      <xdr:rowOff>154780</xdr:rowOff>
    </xdr:from>
    <xdr:to>
      <xdr:col>27</xdr:col>
      <xdr:colOff>481011</xdr:colOff>
      <xdr:row>66</xdr:row>
      <xdr:rowOff>-1</xdr:rowOff>
    </xdr:to>
    <xdr:sp macro="" textlink="">
      <xdr:nvSpPr>
        <xdr:cNvPr id="44" name="Striped Right Arrow 37">
          <a:extLst>
            <a:ext uri="{FF2B5EF4-FFF2-40B4-BE49-F238E27FC236}">
              <a16:creationId xmlns:a16="http://schemas.microsoft.com/office/drawing/2014/main" id="{00000000-0008-0000-0B00-00002C000000}"/>
            </a:ext>
          </a:extLst>
        </xdr:cNvPr>
        <xdr:cNvSpPr/>
      </xdr:nvSpPr>
      <xdr:spPr>
        <a:xfrm rot="5400000">
          <a:off x="13095683" y="6125765"/>
          <a:ext cx="940594" cy="381000"/>
        </a:xfrm>
        <a:prstGeom prst="stripedRightArrow">
          <a:avLst>
            <a:gd name="adj1" fmla="val 50001"/>
            <a:gd name="adj2" fmla="val 5000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27</xdr:col>
      <xdr:colOff>109537</xdr:colOff>
      <xdr:row>37</xdr:row>
      <xdr:rowOff>178595</xdr:rowOff>
    </xdr:from>
    <xdr:to>
      <xdr:col>27</xdr:col>
      <xdr:colOff>490537</xdr:colOff>
      <xdr:row>47</xdr:row>
      <xdr:rowOff>33337</xdr:rowOff>
    </xdr:to>
    <xdr:sp macro="" textlink="">
      <xdr:nvSpPr>
        <xdr:cNvPr id="45" name="Striped Right Arrow 34">
          <a:extLst>
            <a:ext uri="{FF2B5EF4-FFF2-40B4-BE49-F238E27FC236}">
              <a16:creationId xmlns:a16="http://schemas.microsoft.com/office/drawing/2014/main" id="{00000000-0008-0000-0B00-00002D000000}"/>
            </a:ext>
          </a:extLst>
        </xdr:cNvPr>
        <xdr:cNvSpPr/>
      </xdr:nvSpPr>
      <xdr:spPr>
        <a:xfrm rot="5400000">
          <a:off x="13088541" y="2939654"/>
          <a:ext cx="973929" cy="381000"/>
        </a:xfrm>
        <a:prstGeom prst="stripedRightArrow">
          <a:avLst>
            <a:gd name="adj1" fmla="val 50001"/>
            <a:gd name="adj2" fmla="val 5000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116646</xdr:colOff>
      <xdr:row>5</xdr:row>
      <xdr:rowOff>171450</xdr:rowOff>
    </xdr:from>
    <xdr:to>
      <xdr:col>24</xdr:col>
      <xdr:colOff>235708</xdr:colOff>
      <xdr:row>7</xdr:row>
      <xdr:rowOff>66673</xdr:rowOff>
    </xdr:to>
    <xdr:sp macro="" textlink="">
      <xdr:nvSpPr>
        <xdr:cNvPr id="49" name="Rectangle 48">
          <a:extLst>
            <a:ext uri="{FF2B5EF4-FFF2-40B4-BE49-F238E27FC236}">
              <a16:creationId xmlns:a16="http://schemas.microsoft.com/office/drawing/2014/main" id="{00000000-0008-0000-0B00-000031000000}"/>
            </a:ext>
          </a:extLst>
        </xdr:cNvPr>
        <xdr:cNvSpPr/>
      </xdr:nvSpPr>
      <xdr:spPr>
        <a:xfrm>
          <a:off x="7819990" y="1016794"/>
          <a:ext cx="3333749" cy="371473"/>
        </a:xfrm>
        <a:prstGeom prst="rect">
          <a:avLst/>
        </a:prstGeom>
        <a:solidFill>
          <a:schemeClr val="accent6">
            <a:lumMod val="60000"/>
            <a:lumOff val="40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400" b="1" u="none">
              <a:solidFill>
                <a:srgbClr val="002060"/>
              </a:solidFill>
              <a:latin typeface="Tahoma" pitchFamily="34" charset="0"/>
              <a:ea typeface="Tahoma" pitchFamily="34" charset="0"/>
              <a:cs typeface="Tahoma" pitchFamily="34" charset="0"/>
            </a:rPr>
            <a:t>Team size, mix and utilisation</a:t>
          </a:r>
        </a:p>
      </xdr:txBody>
    </xdr:sp>
    <xdr:clientData/>
  </xdr:twoCellAnchor>
  <xdr:twoCellAnchor>
    <xdr:from>
      <xdr:col>11</xdr:col>
      <xdr:colOff>130967</xdr:colOff>
      <xdr:row>27</xdr:row>
      <xdr:rowOff>23814</xdr:rowOff>
    </xdr:from>
    <xdr:to>
      <xdr:col>12</xdr:col>
      <xdr:colOff>404811</xdr:colOff>
      <xdr:row>31</xdr:row>
      <xdr:rowOff>142877</xdr:rowOff>
    </xdr:to>
    <xdr:sp macro="" textlink="">
      <xdr:nvSpPr>
        <xdr:cNvPr id="50" name="Down Arrow 32">
          <a:extLst>
            <a:ext uri="{FF2B5EF4-FFF2-40B4-BE49-F238E27FC236}">
              <a16:creationId xmlns:a16="http://schemas.microsoft.com/office/drawing/2014/main" id="{00000000-0008-0000-0B00-000032000000}"/>
            </a:ext>
          </a:extLst>
        </xdr:cNvPr>
        <xdr:cNvSpPr/>
      </xdr:nvSpPr>
      <xdr:spPr>
        <a:xfrm>
          <a:off x="5060155" y="2786064"/>
          <a:ext cx="809625" cy="738188"/>
        </a:xfrm>
        <a:prstGeom prst="downArrow">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20</xdr:col>
      <xdr:colOff>119061</xdr:colOff>
      <xdr:row>27</xdr:row>
      <xdr:rowOff>2</xdr:rowOff>
    </xdr:from>
    <xdr:to>
      <xdr:col>21</xdr:col>
      <xdr:colOff>392904</xdr:colOff>
      <xdr:row>31</xdr:row>
      <xdr:rowOff>119065</xdr:rowOff>
    </xdr:to>
    <xdr:sp macro="" textlink="">
      <xdr:nvSpPr>
        <xdr:cNvPr id="51" name="Down Arrow 33">
          <a:extLst>
            <a:ext uri="{FF2B5EF4-FFF2-40B4-BE49-F238E27FC236}">
              <a16:creationId xmlns:a16="http://schemas.microsoft.com/office/drawing/2014/main" id="{00000000-0008-0000-0B00-000033000000}"/>
            </a:ext>
          </a:extLst>
        </xdr:cNvPr>
        <xdr:cNvSpPr/>
      </xdr:nvSpPr>
      <xdr:spPr>
        <a:xfrm>
          <a:off x="8893967" y="2762252"/>
          <a:ext cx="809625" cy="738188"/>
        </a:xfrm>
        <a:prstGeom prst="downArrow">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29</xdr:col>
      <xdr:colOff>128587</xdr:colOff>
      <xdr:row>27</xdr:row>
      <xdr:rowOff>9527</xdr:rowOff>
    </xdr:from>
    <xdr:to>
      <xdr:col>30</xdr:col>
      <xdr:colOff>485774</xdr:colOff>
      <xdr:row>31</xdr:row>
      <xdr:rowOff>128590</xdr:rowOff>
    </xdr:to>
    <xdr:sp macro="" textlink="">
      <xdr:nvSpPr>
        <xdr:cNvPr id="52" name="Down Arrow 32">
          <a:extLst>
            <a:ext uri="{FF2B5EF4-FFF2-40B4-BE49-F238E27FC236}">
              <a16:creationId xmlns:a16="http://schemas.microsoft.com/office/drawing/2014/main" id="{00000000-0008-0000-0B00-000034000000}"/>
            </a:ext>
          </a:extLst>
        </xdr:cNvPr>
        <xdr:cNvSpPr/>
      </xdr:nvSpPr>
      <xdr:spPr>
        <a:xfrm>
          <a:off x="13130212" y="2771777"/>
          <a:ext cx="809625" cy="738188"/>
        </a:xfrm>
        <a:prstGeom prst="downArrow">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30</xdr:col>
      <xdr:colOff>523874</xdr:colOff>
      <xdr:row>35</xdr:row>
      <xdr:rowOff>119063</xdr:rowOff>
    </xdr:from>
    <xdr:to>
      <xdr:col>36</xdr:col>
      <xdr:colOff>297656</xdr:colOff>
      <xdr:row>53</xdr:row>
      <xdr:rowOff>178593</xdr:rowOff>
    </xdr:to>
    <xdr:sp macro="" textlink="">
      <xdr:nvSpPr>
        <xdr:cNvPr id="56" name="Rectangle 55">
          <a:extLst>
            <a:ext uri="{FF2B5EF4-FFF2-40B4-BE49-F238E27FC236}">
              <a16:creationId xmlns:a16="http://schemas.microsoft.com/office/drawing/2014/main" id="{00000000-0008-0000-0B00-000038000000}"/>
            </a:ext>
          </a:extLst>
        </xdr:cNvPr>
        <xdr:cNvSpPr/>
      </xdr:nvSpPr>
      <xdr:spPr>
        <a:xfrm>
          <a:off x="13977937" y="5274469"/>
          <a:ext cx="2988469" cy="2714624"/>
        </a:xfrm>
        <a:prstGeom prst="rect">
          <a:avLst/>
        </a:prstGeom>
      </xdr:spPr>
      <xdr:style>
        <a:lnRef idx="2">
          <a:schemeClr val="accent2"/>
        </a:lnRef>
        <a:fillRef idx="1">
          <a:schemeClr val="lt1"/>
        </a:fillRef>
        <a:effectRef idx="0">
          <a:schemeClr val="accent2"/>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Metrics</a:t>
          </a:r>
          <a:r>
            <a:rPr lang="en-AU" sz="1100" b="1" u="none" baseline="0">
              <a:solidFill>
                <a:srgbClr val="002060"/>
              </a:solidFill>
              <a:latin typeface="Tahoma" pitchFamily="34" charset="0"/>
              <a:ea typeface="Tahoma" pitchFamily="34" charset="0"/>
              <a:cs typeface="Tahoma" pitchFamily="34" charset="0"/>
            </a:rPr>
            <a:t> not captured in current audit</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20</xdr:col>
      <xdr:colOff>33338</xdr:colOff>
      <xdr:row>76</xdr:row>
      <xdr:rowOff>21431</xdr:rowOff>
    </xdr:from>
    <xdr:to>
      <xdr:col>22</xdr:col>
      <xdr:colOff>188119</xdr:colOff>
      <xdr:row>81</xdr:row>
      <xdr:rowOff>176211</xdr:rowOff>
    </xdr:to>
    <xdr:sp macro="" textlink="">
      <xdr:nvSpPr>
        <xdr:cNvPr id="32" name="Down Arrow 32">
          <a:extLst>
            <a:ext uri="{FF2B5EF4-FFF2-40B4-BE49-F238E27FC236}">
              <a16:creationId xmlns:a16="http://schemas.microsoft.com/office/drawing/2014/main" id="{00000000-0008-0000-0B00-000020000000}"/>
            </a:ext>
          </a:extLst>
        </xdr:cNvPr>
        <xdr:cNvSpPr/>
      </xdr:nvSpPr>
      <xdr:spPr>
        <a:xfrm>
          <a:off x="8808244" y="13034962"/>
          <a:ext cx="1226344" cy="1107280"/>
        </a:xfrm>
        <a:prstGeom prst="downArrow">
          <a:avLst>
            <a:gd name="adj1" fmla="val 50000"/>
            <a:gd name="adj2" fmla="val 5000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27</xdr:col>
      <xdr:colOff>531020</xdr:colOff>
      <xdr:row>76</xdr:row>
      <xdr:rowOff>19050</xdr:rowOff>
    </xdr:from>
    <xdr:to>
      <xdr:col>30</xdr:col>
      <xdr:colOff>507207</xdr:colOff>
      <xdr:row>81</xdr:row>
      <xdr:rowOff>173830</xdr:rowOff>
    </xdr:to>
    <xdr:sp macro="" textlink="">
      <xdr:nvSpPr>
        <xdr:cNvPr id="36" name="Down Arrow 32">
          <a:extLst>
            <a:ext uri="{FF2B5EF4-FFF2-40B4-BE49-F238E27FC236}">
              <a16:creationId xmlns:a16="http://schemas.microsoft.com/office/drawing/2014/main" id="{00000000-0008-0000-0B00-000024000000}"/>
            </a:ext>
          </a:extLst>
        </xdr:cNvPr>
        <xdr:cNvSpPr/>
      </xdr:nvSpPr>
      <xdr:spPr>
        <a:xfrm>
          <a:off x="12734926" y="13032581"/>
          <a:ext cx="1226344" cy="1107280"/>
        </a:xfrm>
        <a:prstGeom prst="downArrow">
          <a:avLst>
            <a:gd name="adj1" fmla="val 50000"/>
            <a:gd name="adj2" fmla="val 50000"/>
          </a:avLst>
        </a:prstGeom>
        <a:solidFill>
          <a:schemeClr val="accent1">
            <a:lumMod val="5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380999</xdr:colOff>
      <xdr:row>35</xdr:row>
      <xdr:rowOff>142875</xdr:rowOff>
    </xdr:from>
    <xdr:to>
      <xdr:col>24</xdr:col>
      <xdr:colOff>23812</xdr:colOff>
      <xdr:row>37</xdr:row>
      <xdr:rowOff>119062</xdr:rowOff>
    </xdr:to>
    <xdr:sp macro="" textlink="">
      <xdr:nvSpPr>
        <xdr:cNvPr id="47" name="Rectangle 46">
          <a:extLst>
            <a:ext uri="{FF2B5EF4-FFF2-40B4-BE49-F238E27FC236}">
              <a16:creationId xmlns:a16="http://schemas.microsoft.com/office/drawing/2014/main" id="{00000000-0008-0000-0B00-00002F000000}"/>
            </a:ext>
          </a:extLst>
        </xdr:cNvPr>
        <xdr:cNvSpPr/>
      </xdr:nvSpPr>
      <xdr:spPr>
        <a:xfrm>
          <a:off x="8084343" y="9727406"/>
          <a:ext cx="2857500" cy="35718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Convert to engaged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8</xdr:row>
      <xdr:rowOff>123825</xdr:rowOff>
    </xdr:from>
    <xdr:to>
      <xdr:col>13</xdr:col>
      <xdr:colOff>304800</xdr:colOff>
      <xdr:row>32</xdr:row>
      <xdr:rowOff>74084</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85725" y="1309158"/>
          <a:ext cx="7098242" cy="3506259"/>
        </a:xfrm>
        <a:prstGeom prst="rect">
          <a:avLst/>
        </a:prstGeom>
        <a:noFill/>
        <a:ln w="28575"/>
      </xdr:spPr>
      <xdr:style>
        <a:lnRef idx="2">
          <a:schemeClr val="accent1">
            <a:shade val="50000"/>
          </a:schemeClr>
        </a:lnRef>
        <a:fillRef idx="1001">
          <a:schemeClr val="lt2"/>
        </a:fillRef>
        <a:effectRef idx="0">
          <a:schemeClr val="accent1"/>
        </a:effectRef>
        <a:fontRef idx="minor">
          <a:schemeClr val="lt1"/>
        </a:fontRef>
      </xdr:style>
      <xdr:txBody>
        <a:bodyPr rtlCol="0" anchor="ctr"/>
        <a:lstStyle/>
        <a:p>
          <a:pPr algn="ctr"/>
          <a:endParaRPr lang="en-AU" sz="1100">
            <a:solidFill>
              <a:sysClr val="windowText" lastClr="000000"/>
            </a:solidFill>
          </a:endParaRPr>
        </a:p>
      </xdr:txBody>
    </xdr:sp>
    <xdr:clientData/>
  </xdr:twoCellAnchor>
  <xdr:twoCellAnchor>
    <xdr:from>
      <xdr:col>0</xdr:col>
      <xdr:colOff>200024</xdr:colOff>
      <xdr:row>9</xdr:row>
      <xdr:rowOff>57150</xdr:rowOff>
    </xdr:from>
    <xdr:to>
      <xdr:col>13</xdr:col>
      <xdr:colOff>219075</xdr:colOff>
      <xdr:row>31</xdr:row>
      <xdr:rowOff>127000</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200024" y="1390650"/>
          <a:ext cx="6898218" cy="3329517"/>
        </a:xfrm>
        <a:prstGeom prst="rect">
          <a:avLst/>
        </a:prstGeom>
        <a:ln w="22225"/>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AU" sz="1400" b="1" u="sng" baseline="0">
              <a:solidFill>
                <a:srgbClr val="002060"/>
              </a:solidFill>
            </a:rPr>
            <a:t>Example Generic Pharmacy dispensary workflow analysis</a:t>
          </a:r>
        </a:p>
        <a:p>
          <a:pPr algn="ctr"/>
          <a:endParaRPr lang="en-AU" sz="1200" b="1" u="sng">
            <a:solidFill>
              <a:srgbClr val="002060"/>
            </a:solidFill>
          </a:endParaRPr>
        </a:p>
        <a:p>
          <a:r>
            <a:rPr lang="en-AU" sz="1100" b="0">
              <a:solidFill>
                <a:srgbClr val="002060"/>
              </a:solidFill>
              <a:effectLst/>
              <a:latin typeface="+mn-lt"/>
              <a:ea typeface="+mn-ea"/>
              <a:cs typeface="+mn-cs"/>
            </a:rPr>
            <a:t>* The rationale of this benchmarking process is to provide baseline  scores prior to the pharmacy undergoing  a    </a:t>
          </a:r>
        </a:p>
        <a:p>
          <a:r>
            <a:rPr lang="en-AU" sz="1100" b="0">
              <a:solidFill>
                <a:srgbClr val="002060"/>
              </a:solidFill>
              <a:effectLst/>
              <a:latin typeface="+mn-lt"/>
              <a:ea typeface="+mn-ea"/>
              <a:cs typeface="+mn-cs"/>
            </a:rPr>
            <a:t>   specific type of intervention to improve its business performance, be it physical layout, automation, </a:t>
          </a:r>
        </a:p>
        <a:p>
          <a:r>
            <a:rPr lang="en-AU" sz="1100" b="0">
              <a:solidFill>
                <a:srgbClr val="002060"/>
              </a:solidFill>
              <a:effectLst/>
              <a:latin typeface="+mn-lt"/>
              <a:ea typeface="+mn-ea"/>
              <a:cs typeface="+mn-cs"/>
            </a:rPr>
            <a:t>   staff</a:t>
          </a:r>
          <a:r>
            <a:rPr lang="en-AU" sz="1100" b="0" baseline="0">
              <a:solidFill>
                <a:srgbClr val="002060"/>
              </a:solidFill>
              <a:effectLst/>
              <a:latin typeface="+mn-lt"/>
              <a:ea typeface="+mn-ea"/>
              <a:cs typeface="+mn-cs"/>
            </a:rPr>
            <a:t> c</a:t>
          </a:r>
          <a:r>
            <a:rPr lang="en-AU" sz="1100" b="0">
              <a:solidFill>
                <a:srgbClr val="002060"/>
              </a:solidFill>
              <a:effectLst/>
              <a:latin typeface="+mn-lt"/>
              <a:ea typeface="+mn-ea"/>
              <a:cs typeface="+mn-cs"/>
            </a:rPr>
            <a:t>ultural/skill.</a:t>
          </a:r>
        </a:p>
        <a:p>
          <a:r>
            <a:rPr lang="en-AU" sz="1100" b="0">
              <a:solidFill>
                <a:srgbClr val="002060"/>
              </a:solidFill>
              <a:effectLst/>
              <a:latin typeface="+mn-lt"/>
              <a:ea typeface="+mn-ea"/>
              <a:cs typeface="+mn-cs"/>
            </a:rPr>
            <a:t>* This benchmarking  process is optimised when the  pharmacy subjects itself to another round of benchmarking </a:t>
          </a:r>
        </a:p>
        <a:p>
          <a:r>
            <a:rPr lang="en-AU" sz="1100" b="0">
              <a:solidFill>
                <a:srgbClr val="002060"/>
              </a:solidFill>
              <a:effectLst/>
              <a:latin typeface="+mn-lt"/>
              <a:ea typeface="+mn-ea"/>
              <a:cs typeface="+mn-cs"/>
            </a:rPr>
            <a:t>    performed post intervention to assess the impact of the changes.</a:t>
          </a:r>
        </a:p>
        <a:p>
          <a:r>
            <a:rPr lang="en-AU" sz="1100" b="0">
              <a:solidFill>
                <a:srgbClr val="002060"/>
              </a:solidFill>
              <a:effectLst/>
              <a:latin typeface="+mn-lt"/>
              <a:ea typeface="+mn-ea"/>
              <a:cs typeface="+mn-cs"/>
            </a:rPr>
            <a:t>* The baseline benchmarking was undertaken in</a:t>
          </a:r>
          <a:r>
            <a:rPr lang="en-AU" sz="1100" b="0" baseline="0">
              <a:solidFill>
                <a:srgbClr val="002060"/>
              </a:solidFill>
              <a:effectLst/>
              <a:latin typeface="+mn-lt"/>
              <a:ea typeface="+mn-ea"/>
              <a:cs typeface="+mn-cs"/>
            </a:rPr>
            <a:t> </a:t>
          </a:r>
          <a:r>
            <a:rPr lang="en-AU" sz="1100" b="0">
              <a:solidFill>
                <a:srgbClr val="002060"/>
              </a:solidFill>
              <a:effectLst/>
              <a:latin typeface="+mn-lt"/>
              <a:ea typeface="+mn-ea"/>
              <a:cs typeface="+mn-cs"/>
            </a:rPr>
            <a:t> 2018 with no subsequent scoring scheduled  dates  set yet.</a:t>
          </a:r>
        </a:p>
        <a:p>
          <a:r>
            <a:rPr lang="en-AU" sz="1100" b="0">
              <a:solidFill>
                <a:srgbClr val="002060"/>
              </a:solidFill>
              <a:effectLst/>
              <a:latin typeface="+mn-lt"/>
              <a:ea typeface="+mn-ea"/>
              <a:cs typeface="+mn-cs"/>
            </a:rPr>
            <a:t>* The subsequent post changes benchmarking report will assist with facilitating comparisons of business benefit by   </a:t>
          </a:r>
        </a:p>
        <a:p>
          <a:r>
            <a:rPr lang="en-AU" sz="1100" b="0">
              <a:solidFill>
                <a:srgbClr val="002060"/>
              </a:solidFill>
              <a:effectLst/>
              <a:latin typeface="+mn-lt"/>
              <a:ea typeface="+mn-ea"/>
              <a:cs typeface="+mn-cs"/>
            </a:rPr>
            <a:t>   aligning each of the charts and dials from both the baseline and post changes scoring .</a:t>
          </a:r>
        </a:p>
        <a:p>
          <a:r>
            <a:rPr lang="en-AU" sz="1100" b="0">
              <a:solidFill>
                <a:srgbClr val="002060"/>
              </a:solidFill>
              <a:effectLst/>
              <a:latin typeface="+mn-lt"/>
              <a:ea typeface="+mn-ea"/>
              <a:cs typeface="+mn-cs"/>
            </a:rPr>
            <a:t>* Throughout the report Pharmacy</a:t>
          </a:r>
          <a:r>
            <a:rPr lang="en-AU" sz="1100" b="0" baseline="0">
              <a:solidFill>
                <a:srgbClr val="002060"/>
              </a:solidFill>
              <a:effectLst/>
              <a:latin typeface="+mn-lt"/>
              <a:ea typeface="+mn-ea"/>
              <a:cs typeface="+mn-cs"/>
            </a:rPr>
            <a:t> X</a:t>
          </a:r>
          <a:r>
            <a:rPr lang="en-AU" sz="1100" b="0">
              <a:solidFill>
                <a:srgbClr val="002060"/>
              </a:solidFill>
              <a:effectLst/>
              <a:latin typeface="+mn-lt"/>
              <a:ea typeface="+mn-ea"/>
              <a:cs typeface="+mn-cs"/>
            </a:rPr>
            <a:t> will be referred to as</a:t>
          </a:r>
          <a:r>
            <a:rPr lang="en-AU" sz="1100" b="0" baseline="0">
              <a:solidFill>
                <a:srgbClr val="002060"/>
              </a:solidFill>
              <a:effectLst/>
              <a:latin typeface="+mn-lt"/>
              <a:ea typeface="+mn-ea"/>
              <a:cs typeface="+mn-cs"/>
            </a:rPr>
            <a:t> PHX.</a:t>
          </a:r>
          <a:endParaRPr lang="en-AU" sz="1100" b="0">
            <a:solidFill>
              <a:srgbClr val="002060"/>
            </a:solidFill>
            <a:effectLst/>
            <a:latin typeface="+mn-lt"/>
            <a:ea typeface="+mn-ea"/>
            <a:cs typeface="+mn-cs"/>
          </a:endParaRPr>
        </a:p>
        <a:p>
          <a:endParaRPr lang="en-AU" sz="1100" b="0">
            <a:solidFill>
              <a:srgbClr val="002060"/>
            </a:solidFill>
            <a:effectLst/>
            <a:latin typeface="+mn-lt"/>
            <a:ea typeface="+mn-ea"/>
            <a:cs typeface="+mn-cs"/>
          </a:endParaRPr>
        </a:p>
        <a:p>
          <a:endParaRPr lang="en-AU" sz="1100" b="0">
            <a:solidFill>
              <a:srgbClr val="002060"/>
            </a:solidFill>
            <a:effectLst/>
            <a:latin typeface="+mn-lt"/>
            <a:ea typeface="+mn-ea"/>
            <a:cs typeface="+mn-cs"/>
          </a:endParaRPr>
        </a:p>
        <a:p>
          <a:r>
            <a:rPr lang="en-AU" sz="1100" b="0">
              <a:solidFill>
                <a:srgbClr val="002060"/>
              </a:solidFill>
              <a:effectLst/>
              <a:latin typeface="+mn-lt"/>
              <a:ea typeface="+mn-ea"/>
              <a:cs typeface="+mn-cs"/>
            </a:rPr>
            <a:t>We would like to thank the team at PHX for their co-operation and assistance during this process.</a:t>
          </a:r>
        </a:p>
        <a:p>
          <a:pPr algn="l"/>
          <a:endParaRPr lang="en-AU" sz="1100" b="0" u="none">
            <a:solidFill>
              <a:srgbClr val="002060"/>
            </a:solidFill>
          </a:endParaRPr>
        </a:p>
      </xdr:txBody>
    </xdr:sp>
    <xdr:clientData/>
  </xdr:twoCellAnchor>
  <xdr:twoCellAnchor editAs="oneCell">
    <xdr:from>
      <xdr:col>0</xdr:col>
      <xdr:colOff>52917</xdr:colOff>
      <xdr:row>0</xdr:row>
      <xdr:rowOff>21166</xdr:rowOff>
    </xdr:from>
    <xdr:to>
      <xdr:col>5</xdr:col>
      <xdr:colOff>260252</xdr:colOff>
      <xdr:row>6</xdr:row>
      <xdr:rowOff>63500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917" y="21166"/>
          <a:ext cx="2800252" cy="931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122274</xdr:colOff>
      <xdr:row>3</xdr:row>
      <xdr:rowOff>145976</xdr:rowOff>
    </xdr:from>
    <xdr:to>
      <xdr:col>7</xdr:col>
      <xdr:colOff>588999</xdr:colOff>
      <xdr:row>36</xdr:row>
      <xdr:rowOff>79300</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8</xdr:col>
      <xdr:colOff>585899</xdr:colOff>
      <xdr:row>0</xdr:row>
      <xdr:rowOff>84176</xdr:rowOff>
    </xdr:from>
    <xdr:to>
      <xdr:col>13</xdr:col>
      <xdr:colOff>276890</xdr:colOff>
      <xdr:row>3</xdr:row>
      <xdr:rowOff>44303</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5538899" y="84176"/>
          <a:ext cx="2786616" cy="44590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latin typeface="Tahoma" pitchFamily="34" charset="0"/>
              <a:ea typeface="Tahoma" pitchFamily="34" charset="0"/>
              <a:cs typeface="Tahoma" pitchFamily="34" charset="0"/>
            </a:rPr>
            <a:t>Scope/objectives</a:t>
          </a:r>
        </a:p>
        <a:p>
          <a:pPr algn="ctr"/>
          <a:r>
            <a:rPr lang="en-AU" sz="1100" b="1">
              <a:solidFill>
                <a:srgbClr val="002060"/>
              </a:solidFill>
              <a:latin typeface="Tahoma" pitchFamily="34" charset="0"/>
              <a:ea typeface="Tahoma" pitchFamily="34" charset="0"/>
              <a:cs typeface="Tahoma" pitchFamily="34" charset="0"/>
            </a:rPr>
            <a:t>Definitions/parameters</a:t>
          </a:r>
        </a:p>
      </xdr:txBody>
    </xdr:sp>
    <xdr:clientData/>
  </xdr:twoCellAnchor>
  <xdr:twoCellAnchor>
    <xdr:from>
      <xdr:col>1</xdr:col>
      <xdr:colOff>95250</xdr:colOff>
      <xdr:row>0</xdr:row>
      <xdr:rowOff>66676</xdr:rowOff>
    </xdr:from>
    <xdr:to>
      <xdr:col>5</xdr:col>
      <xdr:colOff>38100</xdr:colOff>
      <xdr:row>3</xdr:row>
      <xdr:rowOff>77530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714375" y="66676"/>
          <a:ext cx="2419350" cy="49662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Script life cycle</a:t>
          </a:r>
        </a:p>
      </xdr:txBody>
    </xdr:sp>
    <xdr:clientData/>
  </xdr:twoCellAnchor>
  <xdr:twoCellAnchor>
    <xdr:from>
      <xdr:col>8</xdr:col>
      <xdr:colOff>239455</xdr:colOff>
      <xdr:row>4</xdr:row>
      <xdr:rowOff>11076</xdr:rowOff>
    </xdr:from>
    <xdr:to>
      <xdr:col>14</xdr:col>
      <xdr:colOff>125155</xdr:colOff>
      <xdr:row>40</xdr:row>
      <xdr:rowOff>121830</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5192455" y="658776"/>
          <a:ext cx="3600450" cy="5940054"/>
        </a:xfrm>
        <a:prstGeom prst="rect">
          <a:avLst/>
        </a:prstGeom>
        <a:noFill/>
        <a:ln w="28575"/>
      </xdr:spPr>
      <xdr:style>
        <a:lnRef idx="2">
          <a:schemeClr val="accent1">
            <a:shade val="50000"/>
          </a:schemeClr>
        </a:lnRef>
        <a:fillRef idx="1001">
          <a:schemeClr val="lt2"/>
        </a:fillRef>
        <a:effectRef idx="0">
          <a:schemeClr val="accent1"/>
        </a:effectRef>
        <a:fontRef idx="minor">
          <a:schemeClr val="lt1"/>
        </a:fontRef>
      </xdr:style>
      <xdr:txBody>
        <a:bodyPr rtlCol="0" anchor="t"/>
        <a:lstStyle/>
        <a:p>
          <a:pPr algn="ctr"/>
          <a:endParaRPr lang="en-AU" sz="1100" baseline="0">
            <a:solidFill>
              <a:sysClr val="windowText" lastClr="000000"/>
            </a:solidFill>
          </a:endParaRPr>
        </a:p>
        <a:p>
          <a:pPr algn="ctr"/>
          <a:endParaRPr lang="en-AU" sz="1100" baseline="0">
            <a:solidFill>
              <a:sysClr val="windowText" lastClr="000000"/>
            </a:solidFill>
          </a:endParaRPr>
        </a:p>
        <a:p>
          <a:pPr algn="ctr"/>
          <a:endParaRPr lang="en-AU" sz="1100" baseline="0">
            <a:solidFill>
              <a:sysClr val="windowText" lastClr="000000"/>
            </a:solidFill>
          </a:endParaRPr>
        </a:p>
        <a:p>
          <a:pPr algn="ctr"/>
          <a:endParaRPr lang="en-AU" sz="1100" baseline="0">
            <a:solidFill>
              <a:sysClr val="windowText" lastClr="000000"/>
            </a:solidFill>
          </a:endParaRPr>
        </a:p>
        <a:p>
          <a:pPr algn="ctr"/>
          <a:endParaRPr lang="en-AU" sz="1100" baseline="0">
            <a:solidFill>
              <a:sysClr val="windowText" lastClr="000000"/>
            </a:solidFill>
          </a:endParaRPr>
        </a:p>
        <a:p>
          <a:pPr algn="ctr"/>
          <a:endParaRPr lang="en-AU" sz="1100" baseline="0">
            <a:solidFill>
              <a:sysClr val="windowText" lastClr="000000"/>
            </a:solidFill>
          </a:endParaRPr>
        </a:p>
        <a:p>
          <a:pPr algn="ctr"/>
          <a:endParaRPr lang="en-AU" sz="1100" baseline="0">
            <a:solidFill>
              <a:sysClr val="windowText" lastClr="000000"/>
            </a:solidFill>
          </a:endParaRPr>
        </a:p>
      </xdr:txBody>
    </xdr:sp>
    <xdr:clientData/>
  </xdr:twoCellAnchor>
  <xdr:twoCellAnchor>
    <xdr:from>
      <xdr:col>15</xdr:col>
      <xdr:colOff>119613</xdr:colOff>
      <xdr:row>0</xdr:row>
      <xdr:rowOff>115851</xdr:rowOff>
    </xdr:from>
    <xdr:to>
      <xdr:col>19</xdr:col>
      <xdr:colOff>148188</xdr:colOff>
      <xdr:row>3</xdr:row>
      <xdr:rowOff>33227</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9406488" y="115851"/>
          <a:ext cx="2505075" cy="40315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latin typeface="Tahoma" pitchFamily="34" charset="0"/>
              <a:ea typeface="Tahoma" pitchFamily="34" charset="0"/>
              <a:cs typeface="Tahoma" pitchFamily="34" charset="0"/>
            </a:rPr>
            <a:t>Observational data collection methodology</a:t>
          </a:r>
        </a:p>
      </xdr:txBody>
    </xdr:sp>
    <xdr:clientData/>
  </xdr:twoCellAnchor>
  <xdr:twoCellAnchor>
    <xdr:from>
      <xdr:col>14</xdr:col>
      <xdr:colOff>183183</xdr:colOff>
      <xdr:row>4</xdr:row>
      <xdr:rowOff>11076</xdr:rowOff>
    </xdr:from>
    <xdr:to>
      <xdr:col>20</xdr:col>
      <xdr:colOff>68883</xdr:colOff>
      <xdr:row>40</xdr:row>
      <xdr:rowOff>110756</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8850933" y="658776"/>
          <a:ext cx="3600450" cy="5928980"/>
        </a:xfrm>
        <a:prstGeom prst="rect">
          <a:avLst/>
        </a:prstGeom>
        <a:noFill/>
        <a:ln w="28575"/>
      </xdr:spPr>
      <xdr:style>
        <a:lnRef idx="2">
          <a:schemeClr val="accent1">
            <a:shade val="50000"/>
          </a:schemeClr>
        </a:lnRef>
        <a:fillRef idx="1001">
          <a:schemeClr val="lt2"/>
        </a:fillRef>
        <a:effectRef idx="0">
          <a:schemeClr val="accent1"/>
        </a:effectRef>
        <a:fontRef idx="minor">
          <a:schemeClr val="lt1"/>
        </a:fontRef>
      </xdr:style>
      <xdr:txBody>
        <a:bodyPr rtlCol="0" anchor="ctr"/>
        <a:lstStyle/>
        <a:p>
          <a:pPr algn="ctr"/>
          <a:endParaRPr lang="en-AU" sz="1100">
            <a:solidFill>
              <a:sysClr val="windowText" lastClr="000000"/>
            </a:solidFill>
          </a:endParaRPr>
        </a:p>
      </xdr:txBody>
    </xdr:sp>
    <xdr:clientData/>
  </xdr:twoCellAnchor>
  <xdr:twoCellAnchor>
    <xdr:from>
      <xdr:col>8</xdr:col>
      <xdr:colOff>431064</xdr:colOff>
      <xdr:row>5</xdr:row>
      <xdr:rowOff>11075</xdr:rowOff>
    </xdr:from>
    <xdr:to>
      <xdr:col>14</xdr:col>
      <xdr:colOff>0</xdr:colOff>
      <xdr:row>22</xdr:row>
      <xdr:rowOff>77528</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384064" y="820700"/>
          <a:ext cx="3283686" cy="2819178"/>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AU" sz="1200" b="1" u="sng">
              <a:solidFill>
                <a:srgbClr val="002060"/>
              </a:solidFill>
            </a:rPr>
            <a:t>Scope/objectives</a:t>
          </a:r>
        </a:p>
        <a:p>
          <a:pPr algn="ctr"/>
          <a:endParaRPr lang="en-AU" sz="1100" b="1">
            <a:solidFill>
              <a:srgbClr val="002060"/>
            </a:solidFill>
          </a:endParaRPr>
        </a:p>
        <a:p>
          <a:pPr algn="ctr"/>
          <a:r>
            <a:rPr lang="en-AU" sz="1100" b="1">
              <a:solidFill>
                <a:srgbClr val="002060"/>
              </a:solidFill>
            </a:rPr>
            <a:t> Please refer to  document:</a:t>
          </a:r>
        </a:p>
        <a:p>
          <a:pPr algn="ctr"/>
          <a:endParaRPr lang="en-AU" sz="1100" b="1">
            <a:solidFill>
              <a:srgbClr val="002060"/>
            </a:solidFill>
          </a:endParaRPr>
        </a:p>
        <a:p>
          <a:pPr algn="ctr"/>
          <a:r>
            <a:rPr lang="en-AU" sz="1100" b="1">
              <a:solidFill>
                <a:srgbClr val="002060"/>
              </a:solidFill>
            </a:rPr>
            <a:t> Pharmacy Benchmarking Report 2017 -</a:t>
          </a:r>
        </a:p>
        <a:p>
          <a:pPr algn="ctr"/>
          <a:r>
            <a:rPr lang="en-AU" sz="1100" b="1">
              <a:solidFill>
                <a:srgbClr val="002060"/>
              </a:solidFill>
            </a:rPr>
            <a:t> Scope /objectives</a:t>
          </a:r>
        </a:p>
      </xdr:txBody>
    </xdr:sp>
    <xdr:clientData/>
  </xdr:twoCellAnchor>
  <xdr:twoCellAnchor>
    <xdr:from>
      <xdr:col>8</xdr:col>
      <xdr:colOff>443024</xdr:colOff>
      <xdr:row>23</xdr:row>
      <xdr:rowOff>0</xdr:rowOff>
    </xdr:from>
    <xdr:to>
      <xdr:col>14</xdr:col>
      <xdr:colOff>11076</xdr:colOff>
      <xdr:row>39</xdr:row>
      <xdr:rowOff>143982</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5396024" y="3724275"/>
          <a:ext cx="3282802" cy="273478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AU" sz="1200" b="1" u="sng">
              <a:solidFill>
                <a:srgbClr val="002060"/>
              </a:solidFill>
            </a:rPr>
            <a:t>Definitions/parameters</a:t>
          </a:r>
        </a:p>
        <a:p>
          <a:pPr algn="ctr"/>
          <a:r>
            <a:rPr lang="en-AU" sz="1100" b="1">
              <a:solidFill>
                <a:srgbClr val="002060"/>
              </a:solidFill>
            </a:rPr>
            <a:t> </a:t>
          </a:r>
        </a:p>
        <a:p>
          <a:pPr algn="ctr"/>
          <a:r>
            <a:rPr lang="en-AU" sz="1100" b="1">
              <a:solidFill>
                <a:srgbClr val="002060"/>
              </a:solidFill>
            </a:rPr>
            <a:t> Please refer to  document:</a:t>
          </a:r>
        </a:p>
        <a:p>
          <a:pPr algn="ctr"/>
          <a:endParaRPr lang="en-AU" sz="1100" b="1">
            <a:solidFill>
              <a:srgbClr val="002060"/>
            </a:solidFill>
          </a:endParaRPr>
        </a:p>
        <a:p>
          <a:pPr algn="ctr"/>
          <a:r>
            <a:rPr lang="en-AU" sz="1100" b="1">
              <a:solidFill>
                <a:srgbClr val="002060"/>
              </a:solidFill>
            </a:rPr>
            <a:t>Pharmacy Benchmarking</a:t>
          </a:r>
          <a:r>
            <a:rPr lang="en-AU" sz="1100" b="1" baseline="0">
              <a:solidFill>
                <a:srgbClr val="002060"/>
              </a:solidFill>
            </a:rPr>
            <a:t> Report</a:t>
          </a:r>
          <a:r>
            <a:rPr lang="en-AU" sz="1100" b="1">
              <a:solidFill>
                <a:srgbClr val="002060"/>
              </a:solidFill>
            </a:rPr>
            <a:t> 2017- Definitions/parameters</a:t>
          </a:r>
        </a:p>
      </xdr:txBody>
    </xdr:sp>
    <xdr:clientData/>
  </xdr:twoCellAnchor>
  <xdr:twoCellAnchor>
    <xdr:from>
      <xdr:col>14</xdr:col>
      <xdr:colOff>323176</xdr:colOff>
      <xdr:row>5</xdr:row>
      <xdr:rowOff>33227</xdr:rowOff>
    </xdr:from>
    <xdr:to>
      <xdr:col>19</xdr:col>
      <xdr:colOff>443016</xdr:colOff>
      <xdr:row>39</xdr:row>
      <xdr:rowOff>143982</xdr:rowOff>
    </xdr:to>
    <xdr:sp macro="" textlink="">
      <xdr:nvSpPr>
        <xdr:cNvPr id="10" name="Rectangle 9">
          <a:extLst>
            <a:ext uri="{FF2B5EF4-FFF2-40B4-BE49-F238E27FC236}">
              <a16:creationId xmlns:a16="http://schemas.microsoft.com/office/drawing/2014/main" id="{00000000-0008-0000-0200-00000A000000}"/>
            </a:ext>
          </a:extLst>
        </xdr:cNvPr>
        <xdr:cNvSpPr/>
      </xdr:nvSpPr>
      <xdr:spPr>
        <a:xfrm>
          <a:off x="8990926" y="842852"/>
          <a:ext cx="3215465" cy="561620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AU" sz="1200" b="1" u="sng">
              <a:solidFill>
                <a:srgbClr val="002060"/>
              </a:solidFill>
            </a:rPr>
            <a:t>Observational data collection methodology</a:t>
          </a:r>
        </a:p>
        <a:p>
          <a:pPr algn="ctr"/>
          <a:endParaRPr lang="en-AU" sz="1200" b="1" u="sng">
            <a:solidFill>
              <a:srgbClr val="002060"/>
            </a:solidFill>
          </a:endParaRPr>
        </a:p>
        <a:p>
          <a:pPr algn="ctr"/>
          <a:r>
            <a:rPr lang="en-AU" sz="1050" b="0" u="none">
              <a:solidFill>
                <a:srgbClr val="002060"/>
              </a:solidFill>
            </a:rPr>
            <a:t>The name of the company commissioned by  PHX to undertake the workflow observation and scoring aspect is The Next Level.  A trained, qualified observer from The Next Level, visits</a:t>
          </a:r>
          <a:r>
            <a:rPr lang="en-AU" sz="1050" b="0" u="none" baseline="0">
              <a:solidFill>
                <a:srgbClr val="002060"/>
              </a:solidFill>
            </a:rPr>
            <a:t> </a:t>
          </a:r>
          <a:r>
            <a:rPr lang="en-AU" sz="1050" b="0" u="none">
              <a:solidFill>
                <a:srgbClr val="002060"/>
              </a:solidFill>
            </a:rPr>
            <a:t>the pharmacy to undertake the work </a:t>
          </a:r>
          <a:r>
            <a:rPr lang="en-AU" sz="1050" b="0">
              <a:solidFill>
                <a:srgbClr val="002060"/>
              </a:solidFill>
              <a:effectLst/>
              <a:latin typeface="+mn-lt"/>
              <a:ea typeface="+mn-ea"/>
              <a:cs typeface="+mn-cs"/>
            </a:rPr>
            <a:t>over a period </a:t>
          </a:r>
          <a:r>
            <a:rPr lang="en-AU" sz="1050" b="0" u="none">
              <a:solidFill>
                <a:srgbClr val="002060"/>
              </a:solidFill>
            </a:rPr>
            <a:t>that represents typical script  and</a:t>
          </a:r>
          <a:r>
            <a:rPr lang="en-AU" sz="1050" b="0" u="none" baseline="0">
              <a:solidFill>
                <a:srgbClr val="002060"/>
              </a:solidFill>
            </a:rPr>
            <a:t> non-script </a:t>
          </a:r>
          <a:r>
            <a:rPr lang="en-AU" sz="1050" b="0" u="none">
              <a:solidFill>
                <a:srgbClr val="002060"/>
              </a:solidFill>
            </a:rPr>
            <a:t>customer traffic and dispensing team constituency.  The observer</a:t>
          </a:r>
          <a:r>
            <a:rPr lang="en-AU" sz="1050" b="0" u="none" baseline="0">
              <a:solidFill>
                <a:srgbClr val="002060"/>
              </a:solidFill>
            </a:rPr>
            <a:t> </a:t>
          </a:r>
          <a:r>
            <a:rPr lang="en-AU" sz="1050" b="0" u="none">
              <a:solidFill>
                <a:srgbClr val="002060"/>
              </a:solidFill>
            </a:rPr>
            <a:t>positions (standing or sitting) to one end of the dispensary counter, keying data into a laptop throughout the day.  The observer watches</a:t>
          </a:r>
          <a:r>
            <a:rPr lang="en-AU" sz="1050" b="0" u="none" baseline="0">
              <a:solidFill>
                <a:srgbClr val="002060"/>
              </a:solidFill>
            </a:rPr>
            <a:t> </a:t>
          </a:r>
          <a:r>
            <a:rPr lang="en-AU" sz="1050" b="0" u="none">
              <a:solidFill>
                <a:srgbClr val="002060"/>
              </a:solidFill>
            </a:rPr>
            <a:t>and listens</a:t>
          </a:r>
          <a:r>
            <a:rPr lang="en-AU" sz="1050" b="0" u="none" baseline="0">
              <a:solidFill>
                <a:srgbClr val="002060"/>
              </a:solidFill>
            </a:rPr>
            <a:t> </a:t>
          </a:r>
          <a:r>
            <a:rPr lang="en-AU" sz="1050" b="0" u="none">
              <a:solidFill>
                <a:srgbClr val="002060"/>
              </a:solidFill>
            </a:rPr>
            <a:t>to the dispensary staff member: customer interactions, script processing behind the counter, all the while remaining as unobtrusive to staff and customers as possible.  </a:t>
          </a:r>
        </a:p>
        <a:p>
          <a:pPr algn="ctr"/>
          <a:r>
            <a:rPr lang="en-AU" sz="1050" b="0" u="none">
              <a:solidFill>
                <a:srgbClr val="002060"/>
              </a:solidFill>
            </a:rPr>
            <a:t> </a:t>
          </a:r>
        </a:p>
        <a:p>
          <a:pPr algn="ctr"/>
          <a:r>
            <a:rPr lang="en-AU" sz="1050" b="0" u="none">
              <a:solidFill>
                <a:srgbClr val="002060"/>
              </a:solidFill>
            </a:rPr>
            <a:t>The observer speaks to the pharmacist/technician from time to time throughout the days to clarify certain observations. The observer accesses specific sets of financial data from PoS system, received directly  from PHX</a:t>
          </a:r>
          <a:r>
            <a:rPr lang="en-AU" sz="1050" b="0" u="none" baseline="0">
              <a:solidFill>
                <a:srgbClr val="002060"/>
              </a:solidFill>
            </a:rPr>
            <a:t> </a:t>
          </a:r>
          <a:r>
            <a:rPr lang="en-AU" sz="1050" b="0" u="none">
              <a:solidFill>
                <a:srgbClr val="002060"/>
              </a:solidFill>
            </a:rPr>
            <a:t>('Additional</a:t>
          </a:r>
          <a:r>
            <a:rPr lang="en-AU" sz="1050" b="0" u="none" baseline="0">
              <a:solidFill>
                <a:srgbClr val="002060"/>
              </a:solidFill>
            </a:rPr>
            <a:t> Data' document)</a:t>
          </a:r>
          <a:r>
            <a:rPr lang="en-AU" sz="1050" b="0" baseline="0">
              <a:solidFill>
                <a:srgbClr val="002060"/>
              </a:solidFill>
              <a:effectLst/>
              <a:latin typeface="+mn-lt"/>
              <a:ea typeface="+mn-ea"/>
              <a:cs typeface="+mn-cs"/>
            </a:rPr>
            <a:t>.</a:t>
          </a:r>
          <a:r>
            <a:rPr lang="en-AU" sz="1050" b="0" u="none">
              <a:solidFill>
                <a:srgbClr val="002060"/>
              </a:solidFill>
            </a:rPr>
            <a:t>  Other data collected during the day includes dispensing team staffing levels.  The vast majority of data collected comes from the observers quietly watching and listening to script  and non script</a:t>
          </a:r>
          <a:r>
            <a:rPr lang="en-AU" sz="1050" b="0" u="none" baseline="0">
              <a:solidFill>
                <a:srgbClr val="002060"/>
              </a:solidFill>
            </a:rPr>
            <a:t> </a:t>
          </a:r>
          <a:r>
            <a:rPr lang="en-AU" sz="1050" b="0" u="none">
              <a:solidFill>
                <a:srgbClr val="002060"/>
              </a:solidFill>
            </a:rPr>
            <a:t>customer “lifecycles” one at a time, and one after the other.</a:t>
          </a:r>
        </a:p>
        <a:p>
          <a:pPr algn="ctr"/>
          <a:endParaRPr lang="en-AU" sz="1100" b="0" u="none">
            <a:solidFill>
              <a:srgbClr val="002060"/>
            </a:solidFill>
          </a:endParaRPr>
        </a:p>
        <a:p>
          <a:pPr algn="l"/>
          <a:endParaRPr lang="en-AU" sz="1050" b="0" u="none">
            <a:solidFill>
              <a:srgbClr val="002060"/>
            </a:solidFill>
          </a:endParaRPr>
        </a:p>
      </xdr:txBody>
    </xdr:sp>
    <xdr:clientData/>
  </xdr:twoCellAnchor>
  <xdr:twoCellAnchor>
    <xdr:from>
      <xdr:col>21</xdr:col>
      <xdr:colOff>69322</xdr:colOff>
      <xdr:row>0</xdr:row>
      <xdr:rowOff>110753</xdr:rowOff>
    </xdr:from>
    <xdr:to>
      <xdr:col>25</xdr:col>
      <xdr:colOff>97896</xdr:colOff>
      <xdr:row>3</xdr:row>
      <xdr:rowOff>28129</xdr:rowOff>
    </xdr:to>
    <xdr:sp macro="" textlink="">
      <xdr:nvSpPr>
        <xdr:cNvPr id="11" name="Rectangle 10">
          <a:extLst>
            <a:ext uri="{FF2B5EF4-FFF2-40B4-BE49-F238E27FC236}">
              <a16:creationId xmlns:a16="http://schemas.microsoft.com/office/drawing/2014/main" id="{00000000-0008-0000-0200-00000B000000}"/>
            </a:ext>
          </a:extLst>
        </xdr:cNvPr>
        <xdr:cNvSpPr/>
      </xdr:nvSpPr>
      <xdr:spPr>
        <a:xfrm>
          <a:off x="13070947" y="110753"/>
          <a:ext cx="2505074" cy="40315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latin typeface="Tahoma" pitchFamily="34" charset="0"/>
              <a:ea typeface="Tahoma" pitchFamily="34" charset="0"/>
              <a:cs typeface="Tahoma" pitchFamily="34" charset="0"/>
            </a:rPr>
            <a:t>Report</a:t>
          </a:r>
          <a:r>
            <a:rPr lang="en-AU" sz="1100" b="1" baseline="0">
              <a:solidFill>
                <a:srgbClr val="002060"/>
              </a:solidFill>
              <a:latin typeface="Tahoma" pitchFamily="34" charset="0"/>
              <a:ea typeface="Tahoma" pitchFamily="34" charset="0"/>
              <a:cs typeface="Tahoma" pitchFamily="34" charset="0"/>
            </a:rPr>
            <a:t> presentation</a:t>
          </a:r>
          <a:endParaRPr lang="en-AU" sz="1100" b="1">
            <a:solidFill>
              <a:srgbClr val="002060"/>
            </a:solidFill>
            <a:latin typeface="Tahoma" pitchFamily="34" charset="0"/>
            <a:ea typeface="Tahoma" pitchFamily="34" charset="0"/>
            <a:cs typeface="Tahoma" pitchFamily="34" charset="0"/>
          </a:endParaRPr>
        </a:p>
      </xdr:txBody>
    </xdr:sp>
    <xdr:clientData/>
  </xdr:twoCellAnchor>
  <xdr:twoCellAnchor>
    <xdr:from>
      <xdr:col>20</xdr:col>
      <xdr:colOff>132892</xdr:colOff>
      <xdr:row>4</xdr:row>
      <xdr:rowOff>5978</xdr:rowOff>
    </xdr:from>
    <xdr:to>
      <xdr:col>26</xdr:col>
      <xdr:colOff>18591</xdr:colOff>
      <xdr:row>40</xdr:row>
      <xdr:rowOff>105658</xdr:rowOff>
    </xdr:to>
    <xdr:sp macro="" textlink="">
      <xdr:nvSpPr>
        <xdr:cNvPr id="12" name="Rectangle 11">
          <a:extLst>
            <a:ext uri="{FF2B5EF4-FFF2-40B4-BE49-F238E27FC236}">
              <a16:creationId xmlns:a16="http://schemas.microsoft.com/office/drawing/2014/main" id="{00000000-0008-0000-0200-00000C000000}"/>
            </a:ext>
          </a:extLst>
        </xdr:cNvPr>
        <xdr:cNvSpPr/>
      </xdr:nvSpPr>
      <xdr:spPr>
        <a:xfrm>
          <a:off x="12515392" y="653678"/>
          <a:ext cx="3600449" cy="5928980"/>
        </a:xfrm>
        <a:prstGeom prst="rect">
          <a:avLst/>
        </a:prstGeom>
        <a:noFill/>
        <a:ln w="28575"/>
      </xdr:spPr>
      <xdr:style>
        <a:lnRef idx="2">
          <a:schemeClr val="accent1">
            <a:shade val="50000"/>
          </a:schemeClr>
        </a:lnRef>
        <a:fillRef idx="1001">
          <a:schemeClr val="lt2"/>
        </a:fillRef>
        <a:effectRef idx="0">
          <a:schemeClr val="accent1"/>
        </a:effectRef>
        <a:fontRef idx="minor">
          <a:schemeClr val="lt1"/>
        </a:fontRef>
      </xdr:style>
      <xdr:txBody>
        <a:bodyPr rtlCol="0" anchor="ctr"/>
        <a:lstStyle/>
        <a:p>
          <a:pPr algn="ctr"/>
          <a:endParaRPr lang="en-AU" sz="1100">
            <a:solidFill>
              <a:sysClr val="windowText" lastClr="000000"/>
            </a:solidFill>
          </a:endParaRPr>
        </a:p>
      </xdr:txBody>
    </xdr:sp>
    <xdr:clientData/>
  </xdr:twoCellAnchor>
  <xdr:twoCellAnchor>
    <xdr:from>
      <xdr:col>20</xdr:col>
      <xdr:colOff>272885</xdr:colOff>
      <xdr:row>5</xdr:row>
      <xdr:rowOff>28129</xdr:rowOff>
    </xdr:from>
    <xdr:to>
      <xdr:col>25</xdr:col>
      <xdr:colOff>392724</xdr:colOff>
      <xdr:row>39</xdr:row>
      <xdr:rowOff>138884</xdr:rowOff>
    </xdr:to>
    <xdr:sp macro="" textlink="">
      <xdr:nvSpPr>
        <xdr:cNvPr id="13" name="Rectangle 12">
          <a:extLst>
            <a:ext uri="{FF2B5EF4-FFF2-40B4-BE49-F238E27FC236}">
              <a16:creationId xmlns:a16="http://schemas.microsoft.com/office/drawing/2014/main" id="{00000000-0008-0000-0200-00000D000000}"/>
            </a:ext>
          </a:extLst>
        </xdr:cNvPr>
        <xdr:cNvSpPr/>
      </xdr:nvSpPr>
      <xdr:spPr>
        <a:xfrm>
          <a:off x="12655385" y="837754"/>
          <a:ext cx="3215464" cy="561620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AU" sz="1200" b="1" u="sng">
              <a:solidFill>
                <a:srgbClr val="002060"/>
              </a:solidFill>
            </a:rPr>
            <a:t>Reading your report</a:t>
          </a:r>
        </a:p>
        <a:p>
          <a:pPr algn="ctr"/>
          <a:endParaRPr lang="en-AU" sz="1200" b="1" u="sng">
            <a:solidFill>
              <a:srgbClr val="002060"/>
            </a:solidFill>
          </a:endParaRPr>
        </a:p>
        <a:p>
          <a:pPr algn="ctr"/>
          <a:r>
            <a:rPr lang="en-AU" sz="1050" b="0" u="none">
              <a:solidFill>
                <a:srgbClr val="002060"/>
              </a:solidFill>
            </a:rPr>
            <a:t>Please</a:t>
          </a:r>
          <a:r>
            <a:rPr lang="en-AU" sz="1050" b="0" u="none" baseline="0">
              <a:solidFill>
                <a:srgbClr val="002060"/>
              </a:solidFill>
            </a:rPr>
            <a:t> read your final report in sequential page order per the tabs below.</a:t>
          </a:r>
        </a:p>
        <a:p>
          <a:pPr algn="ctr"/>
          <a:endParaRPr lang="en-AU" sz="1050" b="0" u="none" baseline="0">
            <a:solidFill>
              <a:srgbClr val="002060"/>
            </a:solidFill>
          </a:endParaRPr>
        </a:p>
        <a:p>
          <a:pPr algn="ctr"/>
          <a:r>
            <a:rPr lang="en-AU" sz="1050" b="0" u="none" baseline="0">
              <a:solidFill>
                <a:srgbClr val="002060"/>
              </a:solidFill>
            </a:rPr>
            <a:t>The pages presented are dependant on the number of audit days carried out for your site.</a:t>
          </a:r>
        </a:p>
        <a:p>
          <a:pPr algn="ctr"/>
          <a:endParaRPr lang="en-AU" sz="1050" b="0" u="none" baseline="0">
            <a:solidFill>
              <a:srgbClr val="002060"/>
            </a:solidFill>
          </a:endParaRPr>
        </a:p>
        <a:p>
          <a:pPr algn="ctr"/>
          <a:r>
            <a:rPr lang="en-AU" sz="1050" b="0" u="none">
              <a:solidFill>
                <a:srgbClr val="002060"/>
              </a:solidFill>
            </a:rPr>
            <a:t>The various charts and dials presented are also dependant on the number of audit days carried out for your site.</a:t>
          </a:r>
        </a:p>
        <a:p>
          <a:pPr algn="ctr"/>
          <a:endParaRPr lang="en-AU" sz="1050" b="0" u="none">
            <a:solidFill>
              <a:srgbClr val="002060"/>
            </a:solidFill>
          </a:endParaRPr>
        </a:p>
        <a:p>
          <a:pPr algn="ctr"/>
          <a:r>
            <a:rPr lang="en-AU" sz="1050" b="0" u="none">
              <a:solidFill>
                <a:srgbClr val="002060"/>
              </a:solidFill>
            </a:rPr>
            <a:t>The following rules  are applied to pages within this report:</a:t>
          </a:r>
        </a:p>
        <a:p>
          <a:pPr algn="ctr"/>
          <a:endParaRPr lang="en-AU" sz="1050" b="0" u="none">
            <a:solidFill>
              <a:srgbClr val="002060"/>
            </a:solidFill>
          </a:endParaRPr>
        </a:p>
        <a:p>
          <a:pPr algn="ctr"/>
          <a:r>
            <a:rPr lang="en-AU" sz="1050" b="1" u="sng">
              <a:solidFill>
                <a:srgbClr val="002060"/>
              </a:solidFill>
            </a:rPr>
            <a:t>1</a:t>
          </a:r>
          <a:r>
            <a:rPr lang="en-AU" sz="1050" b="1" u="sng" baseline="0">
              <a:solidFill>
                <a:srgbClr val="002060"/>
              </a:solidFill>
            </a:rPr>
            <a:t> day audit </a:t>
          </a:r>
          <a:r>
            <a:rPr lang="en-AU" sz="1050" b="0" u="none" baseline="0">
              <a:solidFill>
                <a:srgbClr val="002060"/>
              </a:solidFill>
            </a:rPr>
            <a:t>- Only Script customer data and related  business metrics presented</a:t>
          </a:r>
        </a:p>
        <a:p>
          <a:pPr algn="ctr"/>
          <a:endParaRPr lang="en-AU" sz="1050" b="0" u="none" baseline="0">
            <a:solidFill>
              <a:srgbClr val="002060"/>
            </a:solidFill>
          </a:endParaRPr>
        </a:p>
        <a:p>
          <a:pPr algn="ctr"/>
          <a:r>
            <a:rPr lang="en-AU" sz="1050" b="1" u="sng">
              <a:solidFill>
                <a:srgbClr val="002060"/>
              </a:solidFill>
            </a:rPr>
            <a:t>2 day audit </a:t>
          </a:r>
          <a:r>
            <a:rPr lang="en-AU" sz="1050" b="0" u="none">
              <a:solidFill>
                <a:srgbClr val="002060"/>
              </a:solidFill>
            </a:rPr>
            <a:t>- Only Script customer &amp; OTC customer data and related metrics  </a:t>
          </a:r>
        </a:p>
        <a:p>
          <a:pPr algn="ctr"/>
          <a:r>
            <a:rPr lang="en-AU" sz="1050" b="0" u="none">
              <a:solidFill>
                <a:srgbClr val="002060"/>
              </a:solidFill>
            </a:rPr>
            <a:t>business presented</a:t>
          </a:r>
        </a:p>
        <a:p>
          <a:pPr algn="ctr"/>
          <a:endParaRPr lang="en-AU" sz="1050" b="0" u="none">
            <a:solidFill>
              <a:srgbClr val="002060"/>
            </a:solidFill>
          </a:endParaRPr>
        </a:p>
        <a:p>
          <a:pPr algn="ctr"/>
          <a:r>
            <a:rPr lang="en-AU" sz="1050" b="1" u="sng">
              <a:solidFill>
                <a:srgbClr val="002060"/>
              </a:solidFill>
            </a:rPr>
            <a:t>3 day audit </a:t>
          </a:r>
          <a:r>
            <a:rPr lang="en-AU" sz="1050" b="0" u="none">
              <a:solidFill>
                <a:srgbClr val="002060"/>
              </a:solidFill>
            </a:rPr>
            <a:t>- Script customer, OTC customer &amp; Health category aisle customer data and related business  metrics presented</a:t>
          </a:r>
        </a:p>
        <a:p>
          <a:pPr algn="ctr"/>
          <a:endParaRPr lang="en-AU" sz="1050" b="0" u="none">
            <a:solidFill>
              <a:srgbClr val="002060"/>
            </a:solidFill>
          </a:endParaRPr>
        </a:p>
        <a:p>
          <a:pPr algn="ctr"/>
          <a:endParaRPr lang="en-AU" sz="1050" b="0" u="none">
            <a:solidFill>
              <a:srgbClr val="002060"/>
            </a:solidFill>
          </a:endParaRPr>
        </a:p>
        <a:p>
          <a:pPr algn="ctr"/>
          <a:r>
            <a:rPr lang="en-AU" sz="1050" b="0" u="none">
              <a:solidFill>
                <a:srgbClr val="002060"/>
              </a:solidFill>
            </a:rPr>
            <a:t>**Note: if a page  or  chart/dial "APPEARS" to be missing, </a:t>
          </a:r>
          <a:r>
            <a:rPr lang="en-AU" sz="1050" b="0" u="none" baseline="0">
              <a:solidFill>
                <a:srgbClr val="002060"/>
              </a:solidFill>
            </a:rPr>
            <a:t> this is directly related to the  above mentioned data collection/# audit days  rules.</a:t>
          </a:r>
          <a:endParaRPr lang="en-AU" sz="1050" b="0" u="none">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180165</xdr:colOff>
      <xdr:row>24</xdr:row>
      <xdr:rowOff>131005</xdr:rowOff>
    </xdr:from>
    <xdr:to>
      <xdr:col>9</xdr:col>
      <xdr:colOff>211667</xdr:colOff>
      <xdr:row>27</xdr:row>
      <xdr:rowOff>63501</xdr:rowOff>
    </xdr:to>
    <xdr:sp macro="" textlink="">
      <xdr:nvSpPr>
        <xdr:cNvPr id="8" name="Rectangle 7">
          <a:extLst>
            <a:ext uri="{FF2B5EF4-FFF2-40B4-BE49-F238E27FC236}">
              <a16:creationId xmlns:a16="http://schemas.microsoft.com/office/drawing/2014/main" id="{00000000-0008-0000-0300-000008000000}"/>
            </a:ext>
          </a:extLst>
        </xdr:cNvPr>
        <xdr:cNvSpPr/>
      </xdr:nvSpPr>
      <xdr:spPr>
        <a:xfrm>
          <a:off x="2423832" y="5136922"/>
          <a:ext cx="2836085" cy="50399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Team tasking by proportional </a:t>
          </a:r>
        </a:p>
        <a:p>
          <a:pPr algn="ctr"/>
          <a:r>
            <a:rPr lang="en-AU" sz="1100" b="1" u="none">
              <a:solidFill>
                <a:srgbClr val="002060"/>
              </a:solidFill>
              <a:latin typeface="+mn-lt"/>
              <a:ea typeface="Tahoma" pitchFamily="34" charset="0"/>
              <a:cs typeface="Tahoma" pitchFamily="34" charset="0"/>
            </a:rPr>
            <a:t>representation - script customers</a:t>
          </a:r>
        </a:p>
      </xdr:txBody>
    </xdr:sp>
    <xdr:clientData/>
  </xdr:twoCellAnchor>
  <xdr:twoCellAnchor>
    <xdr:from>
      <xdr:col>4</xdr:col>
      <xdr:colOff>63500</xdr:colOff>
      <xdr:row>57</xdr:row>
      <xdr:rowOff>94148</xdr:rowOff>
    </xdr:from>
    <xdr:to>
      <xdr:col>9</xdr:col>
      <xdr:colOff>328083</xdr:colOff>
      <xdr:row>60</xdr:row>
      <xdr:rowOff>31752</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2307167" y="11196065"/>
          <a:ext cx="3069166" cy="509104"/>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Team tasking by proportional representation </a:t>
          </a:r>
        </a:p>
        <a:p>
          <a:pPr algn="ctr"/>
          <a:r>
            <a:rPr lang="en-AU" sz="1100" b="1" u="none">
              <a:solidFill>
                <a:srgbClr val="002060"/>
              </a:solidFill>
              <a:latin typeface="+mn-lt"/>
              <a:ea typeface="Tahoma" pitchFamily="34" charset="0"/>
              <a:cs typeface="Tahoma" pitchFamily="34" charset="0"/>
            </a:rPr>
            <a:t>- OTC customers</a:t>
          </a:r>
        </a:p>
      </xdr:txBody>
    </xdr:sp>
    <xdr:clientData/>
  </xdr:twoCellAnchor>
  <xdr:twoCellAnchor>
    <xdr:from>
      <xdr:col>14</xdr:col>
      <xdr:colOff>0</xdr:colOff>
      <xdr:row>2</xdr:row>
      <xdr:rowOff>0</xdr:rowOff>
    </xdr:from>
    <xdr:to>
      <xdr:col>14</xdr:col>
      <xdr:colOff>539751</xdr:colOff>
      <xdr:row>4</xdr:row>
      <xdr:rowOff>10583</xdr:rowOff>
    </xdr:to>
    <xdr:cxnSp macro="">
      <xdr:nvCxnSpPr>
        <xdr:cNvPr id="20" name="Straight Arrow Connector 19">
          <a:extLst>
            <a:ext uri="{FF2B5EF4-FFF2-40B4-BE49-F238E27FC236}">
              <a16:creationId xmlns:a16="http://schemas.microsoft.com/office/drawing/2014/main" id="{00000000-0008-0000-0300-000014000000}"/>
            </a:ext>
          </a:extLst>
        </xdr:cNvPr>
        <xdr:cNvCxnSpPr/>
      </xdr:nvCxnSpPr>
      <xdr:spPr>
        <a:xfrm flipH="1">
          <a:off x="7852833" y="730250"/>
          <a:ext cx="539751" cy="3915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400844</xdr:colOff>
      <xdr:row>4</xdr:row>
      <xdr:rowOff>182553</xdr:rowOff>
    </xdr:from>
    <xdr:to>
      <xdr:col>5</xdr:col>
      <xdr:colOff>262219</xdr:colOff>
      <xdr:row>7</xdr:row>
      <xdr:rowOff>65322</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400844" y="1293803"/>
          <a:ext cx="2665958" cy="3907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i="0" u="none" strike="noStrike">
              <a:solidFill>
                <a:srgbClr val="002060"/>
              </a:solidFill>
              <a:latin typeface="+mn-lt"/>
              <a:ea typeface="+mn-ea"/>
              <a:cs typeface="+mn-cs"/>
            </a:rPr>
            <a:t># FTE staff to process 100K script items</a:t>
          </a:r>
        </a:p>
        <a:p>
          <a:pPr algn="ctr"/>
          <a:r>
            <a:rPr lang="en-AU" b="1">
              <a:solidFill>
                <a:srgbClr val="002060"/>
              </a:solidFill>
            </a:rPr>
            <a:t>"</a:t>
          </a:r>
          <a:r>
            <a:rPr lang="en-AU" sz="900" b="1" i="1">
              <a:solidFill>
                <a:srgbClr val="002060"/>
              </a:solidFill>
            </a:rPr>
            <a:t>dispensary resourcing level</a:t>
          </a:r>
          <a:r>
            <a:rPr lang="en-AU" b="1">
              <a:solidFill>
                <a:srgbClr val="002060"/>
              </a:solidFill>
            </a:rPr>
            <a:t>"</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8</xdr:col>
      <xdr:colOff>63500</xdr:colOff>
      <xdr:row>4</xdr:row>
      <xdr:rowOff>175938</xdr:rowOff>
    </xdr:from>
    <xdr:to>
      <xdr:col>14</xdr:col>
      <xdr:colOff>21167</xdr:colOff>
      <xdr:row>7</xdr:row>
      <xdr:rowOff>52918</xdr:rowOff>
    </xdr:to>
    <xdr:sp macro="" textlink="">
      <xdr:nvSpPr>
        <xdr:cNvPr id="27" name="Rectangle 26">
          <a:extLst>
            <a:ext uri="{FF2B5EF4-FFF2-40B4-BE49-F238E27FC236}">
              <a16:creationId xmlns:a16="http://schemas.microsoft.com/office/drawing/2014/main" id="{00000000-0008-0000-0300-00001B000000}"/>
            </a:ext>
          </a:extLst>
        </xdr:cNvPr>
        <xdr:cNvSpPr/>
      </xdr:nvSpPr>
      <xdr:spPr>
        <a:xfrm>
          <a:off x="4550833" y="1287188"/>
          <a:ext cx="3323167" cy="38498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050" b="1" i="0" u="none" strike="noStrike">
              <a:solidFill>
                <a:srgbClr val="002060"/>
              </a:solidFill>
              <a:latin typeface="+mn-lt"/>
              <a:ea typeface="+mn-ea"/>
              <a:cs typeface="+mn-cs"/>
            </a:rPr>
            <a:t>% breakdown of staffing levels  by role type</a:t>
          </a:r>
        </a:p>
        <a:p>
          <a:pPr algn="ctr"/>
          <a:r>
            <a:rPr lang="en-AU" sz="900" b="0" i="1" u="none">
              <a:solidFill>
                <a:srgbClr val="002060"/>
              </a:solidFill>
              <a:latin typeface="Tahoma" pitchFamily="34" charset="0"/>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dispensary resourcing mix"</a:t>
          </a:r>
        </a:p>
      </xdr:txBody>
    </xdr:sp>
    <xdr:clientData/>
  </xdr:twoCellAnchor>
  <xdr:twoCellAnchor>
    <xdr:from>
      <xdr:col>3</xdr:col>
      <xdr:colOff>148168</xdr:colOff>
      <xdr:row>89</xdr:row>
      <xdr:rowOff>148167</xdr:rowOff>
    </xdr:from>
    <xdr:to>
      <xdr:col>10</xdr:col>
      <xdr:colOff>137583</xdr:colOff>
      <xdr:row>107</xdr:row>
      <xdr:rowOff>21167</xdr:rowOff>
    </xdr:to>
    <xdr:sp macro="" textlink="">
      <xdr:nvSpPr>
        <xdr:cNvPr id="32" name="Rectangle 31">
          <a:extLst>
            <a:ext uri="{FF2B5EF4-FFF2-40B4-BE49-F238E27FC236}">
              <a16:creationId xmlns:a16="http://schemas.microsoft.com/office/drawing/2014/main" id="{00000000-0008-0000-0300-000020000000}"/>
            </a:ext>
          </a:extLst>
        </xdr:cNvPr>
        <xdr:cNvSpPr/>
      </xdr:nvSpPr>
      <xdr:spPr>
        <a:xfrm>
          <a:off x="1830918" y="17346084"/>
          <a:ext cx="3915832" cy="3354916"/>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137583</xdr:colOff>
      <xdr:row>56</xdr:row>
      <xdr:rowOff>116417</xdr:rowOff>
    </xdr:from>
    <xdr:to>
      <xdr:col>10</xdr:col>
      <xdr:colOff>127000</xdr:colOff>
      <xdr:row>74</xdr:row>
      <xdr:rowOff>95251</xdr:rowOff>
    </xdr:to>
    <xdr:sp macro="" textlink="">
      <xdr:nvSpPr>
        <xdr:cNvPr id="36" name="Rectangle 35">
          <a:extLst>
            <a:ext uri="{FF2B5EF4-FFF2-40B4-BE49-F238E27FC236}">
              <a16:creationId xmlns:a16="http://schemas.microsoft.com/office/drawing/2014/main" id="{00000000-0008-0000-0300-000024000000}"/>
            </a:ext>
          </a:extLst>
        </xdr:cNvPr>
        <xdr:cNvSpPr/>
      </xdr:nvSpPr>
      <xdr:spPr>
        <a:xfrm>
          <a:off x="1820333" y="11218334"/>
          <a:ext cx="3915834" cy="3407834"/>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137571</xdr:colOff>
      <xdr:row>23</xdr:row>
      <xdr:rowOff>179917</xdr:rowOff>
    </xdr:from>
    <xdr:to>
      <xdr:col>10</xdr:col>
      <xdr:colOff>116416</xdr:colOff>
      <xdr:row>56</xdr:row>
      <xdr:rowOff>63500</xdr:rowOff>
    </xdr:to>
    <xdr:sp macro="" textlink="">
      <xdr:nvSpPr>
        <xdr:cNvPr id="37" name="Rectangle 36">
          <a:extLst>
            <a:ext uri="{FF2B5EF4-FFF2-40B4-BE49-F238E27FC236}">
              <a16:creationId xmlns:a16="http://schemas.microsoft.com/office/drawing/2014/main" id="{00000000-0008-0000-0300-000025000000}"/>
            </a:ext>
          </a:extLst>
        </xdr:cNvPr>
        <xdr:cNvSpPr/>
      </xdr:nvSpPr>
      <xdr:spPr>
        <a:xfrm>
          <a:off x="1820321" y="4995334"/>
          <a:ext cx="3905262" cy="6170083"/>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42333</xdr:colOff>
      <xdr:row>3</xdr:row>
      <xdr:rowOff>126999</xdr:rowOff>
    </xdr:from>
    <xdr:to>
      <xdr:col>14</xdr:col>
      <xdr:colOff>433917</xdr:colOff>
      <xdr:row>21</xdr:row>
      <xdr:rowOff>52916</xdr:rowOff>
    </xdr:to>
    <xdr:sp macro="" textlink="">
      <xdr:nvSpPr>
        <xdr:cNvPr id="39" name="Rectangle 38">
          <a:extLst>
            <a:ext uri="{FF2B5EF4-FFF2-40B4-BE49-F238E27FC236}">
              <a16:creationId xmlns:a16="http://schemas.microsoft.com/office/drawing/2014/main" id="{00000000-0008-0000-0300-000027000000}"/>
            </a:ext>
          </a:extLst>
        </xdr:cNvPr>
        <xdr:cNvSpPr/>
      </xdr:nvSpPr>
      <xdr:spPr>
        <a:xfrm>
          <a:off x="42333" y="1047749"/>
          <a:ext cx="8244417" cy="3249084"/>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317499</xdr:colOff>
      <xdr:row>75</xdr:row>
      <xdr:rowOff>42332</xdr:rowOff>
    </xdr:from>
    <xdr:to>
      <xdr:col>9</xdr:col>
      <xdr:colOff>243415</xdr:colOff>
      <xdr:row>77</xdr:row>
      <xdr:rowOff>116415</xdr:rowOff>
    </xdr:to>
    <xdr:sp macro="" textlink="">
      <xdr:nvSpPr>
        <xdr:cNvPr id="47" name="Rectangle 46">
          <a:extLst>
            <a:ext uri="{FF2B5EF4-FFF2-40B4-BE49-F238E27FC236}">
              <a16:creationId xmlns:a16="http://schemas.microsoft.com/office/drawing/2014/main" id="{00000000-0008-0000-0300-00002F000000}"/>
            </a:ext>
          </a:extLst>
        </xdr:cNvPr>
        <xdr:cNvSpPr/>
      </xdr:nvSpPr>
      <xdr:spPr>
        <a:xfrm>
          <a:off x="2561166" y="14573249"/>
          <a:ext cx="2730499" cy="455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Pharmacist % forward </a:t>
          </a:r>
        </a:p>
        <a:p>
          <a:pPr algn="ctr"/>
          <a:r>
            <a:rPr lang="en-AU" sz="1100" b="1" u="none">
              <a:solidFill>
                <a:srgbClr val="002060"/>
              </a:solidFill>
              <a:latin typeface="+mn-lt"/>
              <a:ea typeface="Tahoma" pitchFamily="34" charset="0"/>
              <a:cs typeface="Tahoma" pitchFamily="34" charset="0"/>
            </a:rPr>
            <a:t>orientation score</a:t>
          </a:r>
        </a:p>
      </xdr:txBody>
    </xdr:sp>
    <xdr:clientData/>
  </xdr:twoCellAnchor>
  <xdr:twoCellAnchor>
    <xdr:from>
      <xdr:col>3</xdr:col>
      <xdr:colOff>455082</xdr:colOff>
      <xdr:row>28</xdr:row>
      <xdr:rowOff>52917</xdr:rowOff>
    </xdr:from>
    <xdr:to>
      <xdr:col>9</xdr:col>
      <xdr:colOff>444500</xdr:colOff>
      <xdr:row>41</xdr:row>
      <xdr:rowOff>148167</xdr:rowOff>
    </xdr:to>
    <xdr:graphicFrame macro="">
      <xdr:nvGraphicFramePr>
        <xdr:cNvPr id="55" name="Chart 54">
          <a:extLst>
            <a:ext uri="{FF2B5EF4-FFF2-40B4-BE49-F238E27FC236}">
              <a16:creationId xmlns:a16="http://schemas.microsoft.com/office/drawing/2014/main" id="{00000000-0008-0000-0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444499</xdr:colOff>
      <xdr:row>42</xdr:row>
      <xdr:rowOff>21167</xdr:rowOff>
    </xdr:from>
    <xdr:to>
      <xdr:col>9</xdr:col>
      <xdr:colOff>455083</xdr:colOff>
      <xdr:row>55</xdr:row>
      <xdr:rowOff>84667</xdr:rowOff>
    </xdr:to>
    <xdr:graphicFrame macro="">
      <xdr:nvGraphicFramePr>
        <xdr:cNvPr id="56" name="Chart 55">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473074</xdr:colOff>
      <xdr:row>60</xdr:row>
      <xdr:rowOff>157694</xdr:rowOff>
    </xdr:from>
    <xdr:to>
      <xdr:col>9</xdr:col>
      <xdr:colOff>465666</xdr:colOff>
      <xdr:row>73</xdr:row>
      <xdr:rowOff>116418</xdr:rowOff>
    </xdr:to>
    <xdr:graphicFrame macro="">
      <xdr:nvGraphicFramePr>
        <xdr:cNvPr id="57" name="Chart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31751</xdr:colOff>
      <xdr:row>9</xdr:row>
      <xdr:rowOff>85726</xdr:rowOff>
    </xdr:from>
    <xdr:to>
      <xdr:col>14</xdr:col>
      <xdr:colOff>31751</xdr:colOff>
      <xdr:row>20</xdr:row>
      <xdr:rowOff>105834</xdr:rowOff>
    </xdr:to>
    <xdr:graphicFrame macro="">
      <xdr:nvGraphicFramePr>
        <xdr:cNvPr id="58" name="Chart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457201</xdr:colOff>
      <xdr:row>30</xdr:row>
      <xdr:rowOff>97367</xdr:rowOff>
    </xdr:from>
    <xdr:to>
      <xdr:col>4</xdr:col>
      <xdr:colOff>150285</xdr:colOff>
      <xdr:row>31</xdr:row>
      <xdr:rowOff>118534</xdr:rowOff>
    </xdr:to>
    <xdr:sp macro="" textlink="">
      <xdr:nvSpPr>
        <xdr:cNvPr id="75" name="TextBox 74">
          <a:extLst>
            <a:ext uri="{FF2B5EF4-FFF2-40B4-BE49-F238E27FC236}">
              <a16:creationId xmlns:a16="http://schemas.microsoft.com/office/drawing/2014/main" id="{00000000-0008-0000-0300-00004B000000}"/>
            </a:ext>
          </a:extLst>
        </xdr:cNvPr>
        <xdr:cNvSpPr txBox="1"/>
      </xdr:nvSpPr>
      <xdr:spPr>
        <a:xfrm>
          <a:off x="6076951" y="5688542"/>
          <a:ext cx="255059"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AU" sz="1200"/>
        </a:p>
      </xdr:txBody>
    </xdr:sp>
    <xdr:clientData/>
  </xdr:twoCellAnchor>
  <xdr:twoCellAnchor>
    <xdr:from>
      <xdr:col>3</xdr:col>
      <xdr:colOff>148162</xdr:colOff>
      <xdr:row>74</xdr:row>
      <xdr:rowOff>137584</xdr:rowOff>
    </xdr:from>
    <xdr:to>
      <xdr:col>10</xdr:col>
      <xdr:colOff>137579</xdr:colOff>
      <xdr:row>89</xdr:row>
      <xdr:rowOff>84666</xdr:rowOff>
    </xdr:to>
    <xdr:sp macro="" textlink="">
      <xdr:nvSpPr>
        <xdr:cNvPr id="147" name="Rectangle 146">
          <a:extLst>
            <a:ext uri="{FF2B5EF4-FFF2-40B4-BE49-F238E27FC236}">
              <a16:creationId xmlns:a16="http://schemas.microsoft.com/office/drawing/2014/main" id="{00000000-0008-0000-0300-000093000000}"/>
            </a:ext>
          </a:extLst>
        </xdr:cNvPr>
        <xdr:cNvSpPr/>
      </xdr:nvSpPr>
      <xdr:spPr>
        <a:xfrm>
          <a:off x="1830912" y="14478001"/>
          <a:ext cx="3915834" cy="2804582"/>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74085</xdr:colOff>
      <xdr:row>90</xdr:row>
      <xdr:rowOff>31751</xdr:rowOff>
    </xdr:from>
    <xdr:to>
      <xdr:col>9</xdr:col>
      <xdr:colOff>328084</xdr:colOff>
      <xdr:row>92</xdr:row>
      <xdr:rowOff>179917</xdr:rowOff>
    </xdr:to>
    <xdr:sp macro="" textlink="">
      <xdr:nvSpPr>
        <xdr:cNvPr id="148" name="Rectangle 147">
          <a:extLst>
            <a:ext uri="{FF2B5EF4-FFF2-40B4-BE49-F238E27FC236}">
              <a16:creationId xmlns:a16="http://schemas.microsoft.com/office/drawing/2014/main" id="{00000000-0008-0000-0300-000094000000}"/>
            </a:ext>
          </a:extLst>
        </xdr:cNvPr>
        <xdr:cNvSpPr/>
      </xdr:nvSpPr>
      <xdr:spPr>
        <a:xfrm>
          <a:off x="2317752" y="17420168"/>
          <a:ext cx="3058582" cy="5291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Team tasking by proportional representation </a:t>
          </a:r>
        </a:p>
        <a:p>
          <a:pPr algn="ctr"/>
          <a:r>
            <a:rPr lang="en-AU" sz="1100" b="1" u="none">
              <a:solidFill>
                <a:srgbClr val="002060"/>
              </a:solidFill>
              <a:latin typeface="+mn-lt"/>
              <a:ea typeface="Tahoma" pitchFamily="34" charset="0"/>
              <a:cs typeface="Tahoma" pitchFamily="34" charset="0"/>
            </a:rPr>
            <a:t>- Health category aisle customer</a:t>
          </a:r>
        </a:p>
      </xdr:txBody>
    </xdr:sp>
    <xdr:clientData/>
  </xdr:twoCellAnchor>
  <xdr:twoCellAnchor>
    <xdr:from>
      <xdr:col>3</xdr:col>
      <xdr:colOff>508000</xdr:colOff>
      <xdr:row>93</xdr:row>
      <xdr:rowOff>148167</xdr:rowOff>
    </xdr:from>
    <xdr:to>
      <xdr:col>9</xdr:col>
      <xdr:colOff>500592</xdr:colOff>
      <xdr:row>106</xdr:row>
      <xdr:rowOff>53975</xdr:rowOff>
    </xdr:to>
    <xdr:graphicFrame macro="">
      <xdr:nvGraphicFramePr>
        <xdr:cNvPr id="34" name="Chart 33">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0</xdr:row>
      <xdr:rowOff>74083</xdr:rowOff>
    </xdr:from>
    <xdr:to>
      <xdr:col>12</xdr:col>
      <xdr:colOff>74082</xdr:colOff>
      <xdr:row>2</xdr:row>
      <xdr:rowOff>52916</xdr:rowOff>
    </xdr:to>
    <xdr:sp macro="" textlink="">
      <xdr:nvSpPr>
        <xdr:cNvPr id="22" name="Rectangle 21">
          <a:extLst>
            <a:ext uri="{FF2B5EF4-FFF2-40B4-BE49-F238E27FC236}">
              <a16:creationId xmlns:a16="http://schemas.microsoft.com/office/drawing/2014/main" id="{00000000-0008-0000-0300-000016000000}"/>
            </a:ext>
          </a:extLst>
        </xdr:cNvPr>
        <xdr:cNvSpPr/>
      </xdr:nvSpPr>
      <xdr:spPr>
        <a:xfrm>
          <a:off x="1121833" y="74083"/>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Tahoma" pitchFamily="34" charset="0"/>
              <a:ea typeface="Tahoma" pitchFamily="34" charset="0"/>
              <a:cs typeface="Tahoma" pitchFamily="34" charset="0"/>
            </a:rPr>
            <a:t>DIS</a:t>
          </a: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PENSARY/HEALTH CUSTOMER </a:t>
          </a:r>
          <a:r>
            <a:rPr lang="en-AU" sz="1100" b="1" u="none">
              <a:solidFill>
                <a:srgbClr val="002060"/>
              </a:solidFill>
              <a:latin typeface="Tahoma" pitchFamily="34" charset="0"/>
              <a:ea typeface="Tahoma" pitchFamily="34" charset="0"/>
              <a:cs typeface="Tahoma" pitchFamily="34" charset="0"/>
            </a:rPr>
            <a:t>TEAM SIZE, MIX AND UTILISATION</a:t>
          </a:r>
        </a:p>
      </xdr:txBody>
    </xdr:sp>
    <xdr:clientData/>
  </xdr:twoCellAnchor>
  <xdr:twoCellAnchor>
    <xdr:from>
      <xdr:col>3</xdr:col>
      <xdr:colOff>105834</xdr:colOff>
      <xdr:row>89</xdr:row>
      <xdr:rowOff>137583</xdr:rowOff>
    </xdr:from>
    <xdr:to>
      <xdr:col>10</xdr:col>
      <xdr:colOff>402166</xdr:colOff>
      <xdr:row>107</xdr:row>
      <xdr:rowOff>158750</xdr:rowOff>
    </xdr:to>
    <xdr:sp macro="" textlink="">
      <xdr:nvSpPr>
        <xdr:cNvPr id="26272" name="Rectangle 26271">
          <a:extLst>
            <a:ext uri="{FF2B5EF4-FFF2-40B4-BE49-F238E27FC236}">
              <a16:creationId xmlns:a16="http://schemas.microsoft.com/office/drawing/2014/main" id="{00000000-0008-0000-0300-0000A0660000}"/>
            </a:ext>
          </a:extLst>
        </xdr:cNvPr>
        <xdr:cNvSpPr/>
      </xdr:nvSpPr>
      <xdr:spPr>
        <a:xfrm>
          <a:off x="1788584" y="17335500"/>
          <a:ext cx="4222749" cy="3503083"/>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4</xdr:col>
      <xdr:colOff>288723</xdr:colOff>
      <xdr:row>79</xdr:row>
      <xdr:rowOff>127476</xdr:rowOff>
    </xdr:from>
    <xdr:to>
      <xdr:col>9</xdr:col>
      <xdr:colOff>209347</xdr:colOff>
      <xdr:row>88</xdr:row>
      <xdr:rowOff>42334</xdr:rowOff>
    </xdr:to>
    <xdr:pic>
      <xdr:nvPicPr>
        <xdr:cNvPr id="25622" name="M.23">
          <a:extLst>
            <a:ext uri="{FF2B5EF4-FFF2-40B4-BE49-F238E27FC236}">
              <a16:creationId xmlns:a16="http://schemas.microsoft.com/office/drawing/2014/main" id="{00000000-0008-0000-0300-00001664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43494"/>
        <a:stretch/>
      </xdr:blipFill>
      <xdr:spPr bwMode="auto">
        <a:xfrm>
          <a:off x="2388456" y="15105009"/>
          <a:ext cx="2545291" cy="1591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125967</xdr:colOff>
      <xdr:row>10</xdr:row>
      <xdr:rowOff>117265</xdr:rowOff>
    </xdr:from>
    <xdr:to>
      <xdr:col>5</xdr:col>
      <xdr:colOff>446214</xdr:colOff>
      <xdr:row>19</xdr:row>
      <xdr:rowOff>127000</xdr:rowOff>
    </xdr:to>
    <xdr:pic>
      <xdr:nvPicPr>
        <xdr:cNvPr id="26297" name="M.24">
          <a:extLst>
            <a:ext uri="{FF2B5EF4-FFF2-40B4-BE49-F238E27FC236}">
              <a16:creationId xmlns:a16="http://schemas.microsoft.com/office/drawing/2014/main" id="{00000000-0008-0000-0300-0000B966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 b="45648"/>
        <a:stretch/>
      </xdr:blipFill>
      <xdr:spPr bwMode="auto">
        <a:xfrm>
          <a:off x="125967" y="2242398"/>
          <a:ext cx="2944914" cy="168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183901</xdr:colOff>
      <xdr:row>19</xdr:row>
      <xdr:rowOff>95251</xdr:rowOff>
    </xdr:from>
    <xdr:to>
      <xdr:col>14</xdr:col>
      <xdr:colOff>190499</xdr:colOff>
      <xdr:row>22</xdr:row>
      <xdr:rowOff>136039</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5232151" y="4021668"/>
          <a:ext cx="2811181" cy="54878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AU" sz="1050" b="1" i="0">
              <a:solidFill>
                <a:srgbClr val="002060"/>
              </a:solidFill>
              <a:latin typeface="+mn-lt"/>
              <a:ea typeface="+mn-ea"/>
              <a:cs typeface="+mn-cs"/>
            </a:rPr>
            <a:t># script items per man-hour worked</a:t>
          </a:r>
        </a:p>
        <a:p>
          <a:pPr marL="0" marR="0" indent="0" algn="ctr" defTabSz="914400" rtl="1" eaLnBrk="1" fontAlgn="auto" latinLnBrk="0" hangingPunct="1">
            <a:lnSpc>
              <a:spcPct val="100000"/>
            </a:lnSpc>
            <a:spcBef>
              <a:spcPts val="0"/>
            </a:spcBef>
            <a:spcAft>
              <a:spcPts val="0"/>
            </a:spcAft>
            <a:buClrTx/>
            <a:buSzTx/>
            <a:buFontTx/>
            <a:buNone/>
            <a:tabLst/>
            <a:defRPr/>
          </a:pPr>
          <a:r>
            <a:rPr lang="en-AU" sz="1050" b="1" i="0">
              <a:solidFill>
                <a:srgbClr val="002060"/>
              </a:solidFill>
              <a:latin typeface="+mn-lt"/>
              <a:ea typeface="+mn-ea"/>
              <a:cs typeface="+mn-cs"/>
            </a:rPr>
            <a:t>by the dispensary team</a:t>
          </a:r>
        </a:p>
        <a:p>
          <a:pPr marL="0" marR="0" indent="0" algn="ctr" defTabSz="914400" rtl="1" eaLnBrk="1" fontAlgn="auto" latinLnBrk="0" hangingPunct="1">
            <a:lnSpc>
              <a:spcPct val="100000"/>
            </a:lnSpc>
            <a:spcBef>
              <a:spcPts val="0"/>
            </a:spcBef>
            <a:spcAft>
              <a:spcPts val="0"/>
            </a:spcAft>
            <a:buClrTx/>
            <a:buSzTx/>
            <a:buFontTx/>
            <a:buNone/>
            <a:tabLst/>
            <a:defRPr/>
          </a:pPr>
          <a:r>
            <a:rPr lang="en-AU" sz="1100" b="1" u="none">
              <a:solidFill>
                <a:srgbClr val="002060"/>
              </a:solidFill>
              <a:latin typeface="+mn-lt"/>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script production efficiency</a:t>
          </a:r>
          <a:r>
            <a:rPr lang="en-AU" sz="1100" b="1" u="none">
              <a:solidFill>
                <a:srgbClr val="002060"/>
              </a:solidFill>
              <a:latin typeface="+mn-lt"/>
              <a:ea typeface="Tahoma" pitchFamily="34" charset="0"/>
              <a:cs typeface="Tahoma" pitchFamily="34" charset="0"/>
            </a:rPr>
            <a:t>"</a:t>
          </a:r>
        </a:p>
      </xdr:txBody>
    </xdr:sp>
    <xdr:clientData/>
  </xdr:twoCellAnchor>
  <xdr:twoCellAnchor>
    <xdr:from>
      <xdr:col>1</xdr:col>
      <xdr:colOff>306916</xdr:colOff>
      <xdr:row>20</xdr:row>
      <xdr:rowOff>84667</xdr:rowOff>
    </xdr:from>
    <xdr:to>
      <xdr:col>6</xdr:col>
      <xdr:colOff>381000</xdr:colOff>
      <xdr:row>22</xdr:row>
      <xdr:rowOff>174243</xdr:rowOff>
    </xdr:to>
    <xdr:sp macro="" textlink="">
      <xdr:nvSpPr>
        <xdr:cNvPr id="21" name="Rectangle 20">
          <a:extLst>
            <a:ext uri="{FF2B5EF4-FFF2-40B4-BE49-F238E27FC236}">
              <a16:creationId xmlns:a16="http://schemas.microsoft.com/office/drawing/2014/main" id="{00000000-0008-0000-0400-000015000000}"/>
            </a:ext>
          </a:extLst>
        </xdr:cNvPr>
        <xdr:cNvSpPr/>
      </xdr:nvSpPr>
      <xdr:spPr>
        <a:xfrm>
          <a:off x="867833" y="4201584"/>
          <a:ext cx="2878667" cy="40707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processing efficiency split</a:t>
          </a:r>
        </a:p>
      </xdr:txBody>
    </xdr:sp>
    <xdr:clientData/>
  </xdr:twoCellAnchor>
  <xdr:twoCellAnchor>
    <xdr:from>
      <xdr:col>1</xdr:col>
      <xdr:colOff>370416</xdr:colOff>
      <xdr:row>34</xdr:row>
      <xdr:rowOff>42334</xdr:rowOff>
    </xdr:from>
    <xdr:to>
      <xdr:col>6</xdr:col>
      <xdr:colOff>423332</xdr:colOff>
      <xdr:row>36</xdr:row>
      <xdr:rowOff>52915</xdr:rowOff>
    </xdr:to>
    <xdr:sp macro="" textlink="">
      <xdr:nvSpPr>
        <xdr:cNvPr id="22" name="Rectangle 21">
          <a:extLst>
            <a:ext uri="{FF2B5EF4-FFF2-40B4-BE49-F238E27FC236}">
              <a16:creationId xmlns:a16="http://schemas.microsoft.com/office/drawing/2014/main" id="{00000000-0008-0000-0400-000016000000}"/>
            </a:ext>
          </a:extLst>
        </xdr:cNvPr>
        <xdr:cNvSpPr/>
      </xdr:nvSpPr>
      <xdr:spPr>
        <a:xfrm>
          <a:off x="931333" y="6762751"/>
          <a:ext cx="2857499" cy="39158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US" b="1">
              <a:solidFill>
                <a:srgbClr val="002060"/>
              </a:solidFill>
            </a:rPr>
            <a:t>Script re-handling ratio per customer</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0</xdr:col>
      <xdr:colOff>133350</xdr:colOff>
      <xdr:row>23</xdr:row>
      <xdr:rowOff>95250</xdr:rowOff>
    </xdr:from>
    <xdr:to>
      <xdr:col>8</xdr:col>
      <xdr:colOff>264583</xdr:colOff>
      <xdr:row>33</xdr:row>
      <xdr:rowOff>127001</xdr:rowOff>
    </xdr:to>
    <xdr:graphicFrame macro="">
      <xdr:nvGraphicFramePr>
        <xdr:cNvPr id="54" name="Chart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84670</xdr:colOff>
      <xdr:row>32</xdr:row>
      <xdr:rowOff>161394</xdr:rowOff>
    </xdr:from>
    <xdr:to>
      <xdr:col>5</xdr:col>
      <xdr:colOff>88808</xdr:colOff>
      <xdr:row>34</xdr:row>
      <xdr:rowOff>29908</xdr:rowOff>
    </xdr:to>
    <xdr:cxnSp macro="">
      <xdr:nvCxnSpPr>
        <xdr:cNvPr id="71" name="Straight Arrow Connector 70">
          <a:extLst>
            <a:ext uri="{FF2B5EF4-FFF2-40B4-BE49-F238E27FC236}">
              <a16:creationId xmlns:a16="http://schemas.microsoft.com/office/drawing/2014/main" id="{00000000-0008-0000-0400-000047000000}"/>
            </a:ext>
          </a:extLst>
        </xdr:cNvPr>
        <xdr:cNvCxnSpPr/>
      </xdr:nvCxnSpPr>
      <xdr:spPr>
        <a:xfrm>
          <a:off x="3456520" y="45843294"/>
          <a:ext cx="4138" cy="24951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232834</xdr:colOff>
      <xdr:row>34</xdr:row>
      <xdr:rowOff>137585</xdr:rowOff>
    </xdr:from>
    <xdr:to>
      <xdr:col>14</xdr:col>
      <xdr:colOff>169331</xdr:colOff>
      <xdr:row>37</xdr:row>
      <xdr:rowOff>91068</xdr:rowOff>
    </xdr:to>
    <xdr:sp macro="" textlink="">
      <xdr:nvSpPr>
        <xdr:cNvPr id="80" name="Rectangle 79">
          <a:extLst>
            <a:ext uri="{FF2B5EF4-FFF2-40B4-BE49-F238E27FC236}">
              <a16:creationId xmlns:a16="http://schemas.microsoft.com/office/drawing/2014/main" id="{00000000-0008-0000-0400-000050000000}"/>
            </a:ext>
          </a:extLst>
        </xdr:cNvPr>
        <xdr:cNvSpPr/>
      </xdr:nvSpPr>
      <xdr:spPr>
        <a:xfrm>
          <a:off x="9786409" y="46009985"/>
          <a:ext cx="2746372" cy="5249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marL="0" marR="0" indent="0" algn="ctr" defTabSz="914400" rtl="1" eaLnBrk="1" fontAlgn="auto" latinLnBrk="0" hangingPunct="1">
            <a:lnSpc>
              <a:spcPct val="100000"/>
            </a:lnSpc>
            <a:spcBef>
              <a:spcPts val="0"/>
            </a:spcBef>
            <a:spcAft>
              <a:spcPts val="0"/>
            </a:spcAft>
            <a:buClrTx/>
            <a:buSzTx/>
            <a:buFontTx/>
            <a:buNone/>
            <a:tabLst/>
            <a:defRPr/>
          </a:pPr>
          <a:r>
            <a:rPr lang="en-AU" sz="1050" b="1" i="0">
              <a:solidFill>
                <a:srgbClr val="002060"/>
              </a:solidFill>
              <a:latin typeface="+mn-lt"/>
              <a:ea typeface="+mn-ea"/>
              <a:cs typeface="+mn-cs"/>
            </a:rPr>
            <a:t>Labour cost per script item  </a:t>
          </a:r>
        </a:p>
        <a:p>
          <a:pPr marL="0" marR="0" indent="0" algn="ctr" defTabSz="914400" rtl="1" eaLnBrk="1" fontAlgn="auto" latinLnBrk="0" hangingPunct="1">
            <a:lnSpc>
              <a:spcPct val="100000"/>
            </a:lnSpc>
            <a:spcBef>
              <a:spcPts val="0"/>
            </a:spcBef>
            <a:spcAft>
              <a:spcPts val="0"/>
            </a:spcAft>
            <a:buClrTx/>
            <a:buSzTx/>
            <a:buFontTx/>
            <a:buNone/>
            <a:tabLst/>
            <a:defRPr/>
          </a:pPr>
          <a:r>
            <a:rPr lang="en-AU" sz="1100" b="1" u="none">
              <a:solidFill>
                <a:srgbClr val="002060"/>
              </a:solidFill>
              <a:latin typeface="+mn-lt"/>
              <a:ea typeface="Tahoma" pitchFamily="34" charset="0"/>
              <a:cs typeface="Tahoma" pitchFamily="34" charset="0"/>
            </a:rPr>
            <a:t>"</a:t>
          </a:r>
          <a:r>
            <a:rPr lang="en-AU" sz="900" b="1" i="1" u="none">
              <a:solidFill>
                <a:srgbClr val="002060"/>
              </a:solidFill>
              <a:latin typeface="+mn-lt"/>
              <a:ea typeface="Tahoma" pitchFamily="34" charset="0"/>
              <a:cs typeface="Tahoma" pitchFamily="34" charset="0"/>
            </a:rPr>
            <a:t>script production cost effectiveness</a:t>
          </a:r>
          <a:r>
            <a:rPr lang="en-AU" sz="1100" b="1" u="none">
              <a:solidFill>
                <a:srgbClr val="002060"/>
              </a:solidFill>
              <a:latin typeface="+mn-lt"/>
              <a:ea typeface="Tahoma" pitchFamily="34" charset="0"/>
              <a:cs typeface="Tahoma" pitchFamily="34" charset="0"/>
            </a:rPr>
            <a:t>"</a:t>
          </a:r>
        </a:p>
      </xdr:txBody>
    </xdr:sp>
    <xdr:clientData/>
  </xdr:twoCellAnchor>
  <xdr:twoCellAnchor>
    <xdr:from>
      <xdr:col>1</xdr:col>
      <xdr:colOff>317500</xdr:colOff>
      <xdr:row>3</xdr:row>
      <xdr:rowOff>148167</xdr:rowOff>
    </xdr:from>
    <xdr:to>
      <xdr:col>6</xdr:col>
      <xdr:colOff>296334</xdr:colOff>
      <xdr:row>6</xdr:row>
      <xdr:rowOff>105833</xdr:rowOff>
    </xdr:to>
    <xdr:sp macro="" textlink="">
      <xdr:nvSpPr>
        <xdr:cNvPr id="139" name="Rectangle 138">
          <a:extLst>
            <a:ext uri="{FF2B5EF4-FFF2-40B4-BE49-F238E27FC236}">
              <a16:creationId xmlns:a16="http://schemas.microsoft.com/office/drawing/2014/main" id="{00000000-0008-0000-0400-00008B000000}"/>
            </a:ext>
          </a:extLst>
        </xdr:cNvPr>
        <xdr:cNvSpPr/>
      </xdr:nvSpPr>
      <xdr:spPr>
        <a:xfrm>
          <a:off x="878417" y="1068917"/>
          <a:ext cx="2783417" cy="5291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Average processing duration per script item "</a:t>
          </a:r>
          <a:r>
            <a:rPr lang="en-AU" sz="900" b="1" i="1" u="none">
              <a:solidFill>
                <a:srgbClr val="002060"/>
              </a:solidFill>
              <a:latin typeface="+mn-lt"/>
              <a:ea typeface="Tahoma" pitchFamily="34" charset="0"/>
              <a:cs typeface="Tahoma" pitchFamily="34" charset="0"/>
            </a:rPr>
            <a:t>Script processing efficiency"</a:t>
          </a:r>
          <a:endParaRPr lang="en-AU" sz="1100" b="1" i="1" u="none">
            <a:solidFill>
              <a:srgbClr val="002060"/>
            </a:solidFill>
            <a:latin typeface="+mn-lt"/>
            <a:ea typeface="Tahoma" pitchFamily="34" charset="0"/>
            <a:cs typeface="Tahoma" pitchFamily="34" charset="0"/>
          </a:endParaRPr>
        </a:p>
      </xdr:txBody>
    </xdr:sp>
    <xdr:clientData/>
  </xdr:twoCellAnchor>
  <xdr:twoCellAnchor>
    <xdr:from>
      <xdr:col>0</xdr:col>
      <xdr:colOff>63500</xdr:colOff>
      <xdr:row>3</xdr:row>
      <xdr:rowOff>2</xdr:rowOff>
    </xdr:from>
    <xdr:to>
      <xdr:col>8</xdr:col>
      <xdr:colOff>455085</xdr:colOff>
      <xdr:row>49</xdr:row>
      <xdr:rowOff>42333</xdr:rowOff>
    </xdr:to>
    <xdr:sp macro="" textlink="">
      <xdr:nvSpPr>
        <xdr:cNvPr id="148" name="Rectangle 147">
          <a:extLst>
            <a:ext uri="{FF2B5EF4-FFF2-40B4-BE49-F238E27FC236}">
              <a16:creationId xmlns:a16="http://schemas.microsoft.com/office/drawing/2014/main" id="{00000000-0008-0000-0400-000094000000}"/>
            </a:ext>
          </a:extLst>
        </xdr:cNvPr>
        <xdr:cNvSpPr/>
      </xdr:nvSpPr>
      <xdr:spPr>
        <a:xfrm>
          <a:off x="63500" y="920752"/>
          <a:ext cx="4878918" cy="8699498"/>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518583</xdr:colOff>
      <xdr:row>18</xdr:row>
      <xdr:rowOff>52916</xdr:rowOff>
    </xdr:from>
    <xdr:to>
      <xdr:col>15</xdr:col>
      <xdr:colOff>201082</xdr:colOff>
      <xdr:row>49</xdr:row>
      <xdr:rowOff>42334</xdr:rowOff>
    </xdr:to>
    <xdr:sp macro="" textlink="">
      <xdr:nvSpPr>
        <xdr:cNvPr id="149" name="Rectangle 148">
          <a:extLst>
            <a:ext uri="{FF2B5EF4-FFF2-40B4-BE49-F238E27FC236}">
              <a16:creationId xmlns:a16="http://schemas.microsoft.com/office/drawing/2014/main" id="{00000000-0008-0000-0400-000095000000}"/>
            </a:ext>
          </a:extLst>
        </xdr:cNvPr>
        <xdr:cNvSpPr/>
      </xdr:nvSpPr>
      <xdr:spPr>
        <a:xfrm>
          <a:off x="5005916" y="3788833"/>
          <a:ext cx="3450166" cy="5831418"/>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10583</xdr:colOff>
      <xdr:row>0</xdr:row>
      <xdr:rowOff>84668</xdr:rowOff>
    </xdr:from>
    <xdr:to>
      <xdr:col>13</xdr:col>
      <xdr:colOff>84665</xdr:colOff>
      <xdr:row>2</xdr:row>
      <xdr:rowOff>63501</xdr:rowOff>
    </xdr:to>
    <xdr:sp macro="" textlink="">
      <xdr:nvSpPr>
        <xdr:cNvPr id="19" name="Rectangle 18">
          <a:extLst>
            <a:ext uri="{FF2B5EF4-FFF2-40B4-BE49-F238E27FC236}">
              <a16:creationId xmlns:a16="http://schemas.microsoft.com/office/drawing/2014/main" id="{00000000-0008-0000-0400-000013000000}"/>
            </a:ext>
          </a:extLst>
        </xdr:cNvPr>
        <xdr:cNvSpPr/>
      </xdr:nvSpPr>
      <xdr:spPr>
        <a:xfrm>
          <a:off x="1693333" y="84668"/>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SCRIPT PROCESSING EFFICIENCY AND COST EFFECTIVENESS </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15</xdr:col>
      <xdr:colOff>1</xdr:colOff>
      <xdr:row>2</xdr:row>
      <xdr:rowOff>0</xdr:rowOff>
    </xdr:from>
    <xdr:to>
      <xdr:col>18</xdr:col>
      <xdr:colOff>296333</xdr:colOff>
      <xdr:row>20</xdr:row>
      <xdr:rowOff>10583</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flipH="1">
          <a:off x="8255001" y="730250"/>
          <a:ext cx="1915582" cy="3397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550334</xdr:colOff>
      <xdr:row>9</xdr:row>
      <xdr:rowOff>116416</xdr:rowOff>
    </xdr:from>
    <xdr:to>
      <xdr:col>15</xdr:col>
      <xdr:colOff>158750</xdr:colOff>
      <xdr:row>17</xdr:row>
      <xdr:rowOff>137582</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243416</xdr:colOff>
      <xdr:row>14</xdr:row>
      <xdr:rowOff>21166</xdr:rowOff>
    </xdr:from>
    <xdr:to>
      <xdr:col>8</xdr:col>
      <xdr:colOff>423334</xdr:colOff>
      <xdr:row>14</xdr:row>
      <xdr:rowOff>137583</xdr:rowOff>
    </xdr:to>
    <xdr:sp macro="" textlink="">
      <xdr:nvSpPr>
        <xdr:cNvPr id="3" name="Left-Right Arrow 2">
          <a:extLst>
            <a:ext uri="{FF2B5EF4-FFF2-40B4-BE49-F238E27FC236}">
              <a16:creationId xmlns:a16="http://schemas.microsoft.com/office/drawing/2014/main" id="{00000000-0008-0000-0400-000003000000}"/>
            </a:ext>
          </a:extLst>
        </xdr:cNvPr>
        <xdr:cNvSpPr/>
      </xdr:nvSpPr>
      <xdr:spPr>
        <a:xfrm>
          <a:off x="4169833" y="2995083"/>
          <a:ext cx="740834" cy="116417"/>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216113</xdr:colOff>
      <xdr:row>38</xdr:row>
      <xdr:rowOff>179949</xdr:rowOff>
    </xdr:from>
    <xdr:to>
      <xdr:col>6</xdr:col>
      <xdr:colOff>355599</xdr:colOff>
      <xdr:row>48</xdr:row>
      <xdr:rowOff>50800</xdr:rowOff>
    </xdr:to>
    <xdr:pic>
      <xdr:nvPicPr>
        <xdr:cNvPr id="14370" name="M.20">
          <a:extLst>
            <a:ext uri="{FF2B5EF4-FFF2-40B4-BE49-F238E27FC236}">
              <a16:creationId xmlns:a16="http://schemas.microsoft.com/office/drawing/2014/main" id="{00000000-0008-0000-0400-00002238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 b="43307"/>
        <a:stretch/>
      </xdr:blipFill>
      <xdr:spPr bwMode="auto">
        <a:xfrm>
          <a:off x="741046" y="7520549"/>
          <a:ext cx="2764153" cy="1733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464399</xdr:colOff>
      <xdr:row>24</xdr:row>
      <xdr:rowOff>69231</xdr:rowOff>
    </xdr:from>
    <xdr:to>
      <xdr:col>14</xdr:col>
      <xdr:colOff>296332</xdr:colOff>
      <xdr:row>33</xdr:row>
      <xdr:rowOff>16934</xdr:rowOff>
    </xdr:to>
    <xdr:pic>
      <xdr:nvPicPr>
        <xdr:cNvPr id="61" name="M.29">
          <a:extLst>
            <a:ext uri="{FF2B5EF4-FFF2-40B4-BE49-F238E27FC236}">
              <a16:creationId xmlns:a16="http://schemas.microsoft.com/office/drawing/2014/main" id="{00000000-0008-0000-0400-00003D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45184"/>
        <a:stretch/>
      </xdr:blipFill>
      <xdr:spPr bwMode="auto">
        <a:xfrm>
          <a:off x="4663866" y="4802098"/>
          <a:ext cx="2981533" cy="162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129361</xdr:colOff>
      <xdr:row>38</xdr:row>
      <xdr:rowOff>154282</xdr:rowOff>
    </xdr:from>
    <xdr:to>
      <xdr:col>15</xdr:col>
      <xdr:colOff>50801</xdr:colOff>
      <xdr:row>48</xdr:row>
      <xdr:rowOff>136367</xdr:rowOff>
    </xdr:to>
    <xdr:pic>
      <xdr:nvPicPr>
        <xdr:cNvPr id="15829" name="M.30">
          <a:extLst>
            <a:ext uri="{FF2B5EF4-FFF2-40B4-BE49-F238E27FC236}">
              <a16:creationId xmlns:a16="http://schemas.microsoft.com/office/drawing/2014/main" id="{00000000-0008-0000-0400-0000D53D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43525"/>
        <a:stretch>
          <a:fillRect/>
        </a:stretch>
      </xdr:blipFill>
      <xdr:spPr bwMode="auto">
        <a:xfrm>
          <a:off x="5177611" y="7636699"/>
          <a:ext cx="3128190" cy="188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444512</xdr:colOff>
      <xdr:row>9</xdr:row>
      <xdr:rowOff>57605</xdr:rowOff>
    </xdr:from>
    <xdr:to>
      <xdr:col>6</xdr:col>
      <xdr:colOff>516467</xdr:colOff>
      <xdr:row>19</xdr:row>
      <xdr:rowOff>93135</xdr:rowOff>
    </xdr:to>
    <xdr:pic>
      <xdr:nvPicPr>
        <xdr:cNvPr id="14375" name="M.19A">
          <a:extLst>
            <a:ext uri="{FF2B5EF4-FFF2-40B4-BE49-F238E27FC236}">
              <a16:creationId xmlns:a16="http://schemas.microsoft.com/office/drawing/2014/main" id="{00000000-0008-0000-0400-00002738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44075"/>
        <a:stretch/>
      </xdr:blipFill>
      <xdr:spPr bwMode="auto">
        <a:xfrm>
          <a:off x="444512" y="2047272"/>
          <a:ext cx="3221555" cy="1898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10584</xdr:colOff>
      <xdr:row>1</xdr:row>
      <xdr:rowOff>328082</xdr:rowOff>
    </xdr:from>
    <xdr:to>
      <xdr:col>12</xdr:col>
      <xdr:colOff>2</xdr:colOff>
      <xdr:row>3</xdr:row>
      <xdr:rowOff>10583</xdr:rowOff>
    </xdr:to>
    <xdr:cxnSp macro="">
      <xdr:nvCxnSpPr>
        <xdr:cNvPr id="30" name="Straight Arrow Connector 29">
          <a:extLst>
            <a:ext uri="{FF2B5EF4-FFF2-40B4-BE49-F238E27FC236}">
              <a16:creationId xmlns:a16="http://schemas.microsoft.com/office/drawing/2014/main" id="{00000000-0008-0000-0500-00001E000000}"/>
            </a:ext>
          </a:extLst>
        </xdr:cNvPr>
        <xdr:cNvCxnSpPr/>
      </xdr:nvCxnSpPr>
      <xdr:spPr>
        <a:xfrm flipH="1">
          <a:off x="4497917" y="666749"/>
          <a:ext cx="1957918" cy="4127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158750</xdr:colOff>
      <xdr:row>17</xdr:row>
      <xdr:rowOff>169334</xdr:rowOff>
    </xdr:from>
    <xdr:to>
      <xdr:col>8</xdr:col>
      <xdr:colOff>349250</xdr:colOff>
      <xdr:row>20</xdr:row>
      <xdr:rowOff>39137</xdr:rowOff>
    </xdr:to>
    <xdr:sp macro="" textlink="">
      <xdr:nvSpPr>
        <xdr:cNvPr id="6" name="Rectangle 5">
          <a:extLst>
            <a:ext uri="{FF2B5EF4-FFF2-40B4-BE49-F238E27FC236}">
              <a16:creationId xmlns:a16="http://schemas.microsoft.com/office/drawing/2014/main" id="{00000000-0008-0000-0500-000006000000}"/>
            </a:ext>
          </a:extLst>
        </xdr:cNvPr>
        <xdr:cNvSpPr/>
      </xdr:nvSpPr>
      <xdr:spPr>
        <a:xfrm>
          <a:off x="1280583" y="3841751"/>
          <a:ext cx="3556000" cy="44130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 visit and </a:t>
          </a:r>
        </a:p>
        <a:p>
          <a:pPr algn="ctr"/>
          <a:r>
            <a:rPr lang="en-AU" sz="1100" b="1" u="none">
              <a:solidFill>
                <a:srgbClr val="002060"/>
              </a:solidFill>
              <a:latin typeface="+mn-lt"/>
              <a:ea typeface="Tahoma" pitchFamily="34" charset="0"/>
              <a:cs typeface="Tahoma" pitchFamily="34" charset="0"/>
            </a:rPr>
            <a:t>engagement duration</a:t>
          </a:r>
        </a:p>
      </xdr:txBody>
    </xdr:sp>
    <xdr:clientData/>
  </xdr:twoCellAnchor>
  <xdr:twoCellAnchor>
    <xdr:from>
      <xdr:col>2</xdr:col>
      <xdr:colOff>254000</xdr:colOff>
      <xdr:row>31</xdr:row>
      <xdr:rowOff>119942</xdr:rowOff>
    </xdr:from>
    <xdr:to>
      <xdr:col>8</xdr:col>
      <xdr:colOff>317499</xdr:colOff>
      <xdr:row>33</xdr:row>
      <xdr:rowOff>84665</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a:off x="1375833" y="6427609"/>
          <a:ext cx="3428999" cy="34572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a:t>
          </a:r>
          <a:r>
            <a:rPr lang="en-AU" sz="1100" b="1" u="none" baseline="0">
              <a:solidFill>
                <a:srgbClr val="002060"/>
              </a:solidFill>
              <a:latin typeface="+mn-lt"/>
              <a:ea typeface="Tahoma" pitchFamily="34" charset="0"/>
              <a:cs typeface="Tahoma" pitchFamily="34" charset="0"/>
            </a:rPr>
            <a:t> e</a:t>
          </a:r>
          <a:r>
            <a:rPr lang="en-AU" sz="1100" b="1" u="none">
              <a:solidFill>
                <a:srgbClr val="002060"/>
              </a:solidFill>
              <a:latin typeface="+mn-lt"/>
              <a:ea typeface="Tahoma" pitchFamily="34" charset="0"/>
              <a:cs typeface="Tahoma" pitchFamily="34" charset="0"/>
            </a:rPr>
            <a:t>ngagement effectiveness</a:t>
          </a:r>
        </a:p>
      </xdr:txBody>
    </xdr:sp>
    <xdr:clientData/>
  </xdr:twoCellAnchor>
  <xdr:twoCellAnchor>
    <xdr:from>
      <xdr:col>2</xdr:col>
      <xdr:colOff>433916</xdr:colOff>
      <xdr:row>3</xdr:row>
      <xdr:rowOff>4303</xdr:rowOff>
    </xdr:from>
    <xdr:to>
      <xdr:col>7</xdr:col>
      <xdr:colOff>296333</xdr:colOff>
      <xdr:row>4</xdr:row>
      <xdr:rowOff>137583</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1555749" y="1073220"/>
          <a:ext cx="2667001" cy="32378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 visit retention </a:t>
          </a:r>
        </a:p>
      </xdr:txBody>
    </xdr:sp>
    <xdr:clientData/>
  </xdr:twoCellAnchor>
  <xdr:twoCellAnchor>
    <xdr:from>
      <xdr:col>2</xdr:col>
      <xdr:colOff>105834</xdr:colOff>
      <xdr:row>87</xdr:row>
      <xdr:rowOff>105740</xdr:rowOff>
    </xdr:from>
    <xdr:to>
      <xdr:col>8</xdr:col>
      <xdr:colOff>264584</xdr:colOff>
      <xdr:row>89</xdr:row>
      <xdr:rowOff>137583</xdr:rowOff>
    </xdr:to>
    <xdr:sp macro="" textlink="">
      <xdr:nvSpPr>
        <xdr:cNvPr id="17" name="Rectangle 16">
          <a:extLst>
            <a:ext uri="{FF2B5EF4-FFF2-40B4-BE49-F238E27FC236}">
              <a16:creationId xmlns:a16="http://schemas.microsoft.com/office/drawing/2014/main" id="{00000000-0008-0000-0500-000011000000}"/>
            </a:ext>
          </a:extLst>
        </xdr:cNvPr>
        <xdr:cNvSpPr/>
      </xdr:nvSpPr>
      <xdr:spPr>
        <a:xfrm>
          <a:off x="1227667" y="16996740"/>
          <a:ext cx="3524250" cy="41284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US" sz="1100" b="1" baseline="0">
              <a:solidFill>
                <a:srgbClr val="002060"/>
              </a:solidFill>
              <a:effectLst/>
              <a:latin typeface="+mn-lt"/>
              <a:ea typeface="+mn-ea"/>
              <a:cs typeface="+mn-cs"/>
            </a:rPr>
            <a:t>Script customer proactive medicines</a:t>
          </a:r>
        </a:p>
        <a:p>
          <a:pPr algn="ctr"/>
          <a:r>
            <a:rPr lang="en-US" sz="1100" b="1" baseline="0">
              <a:solidFill>
                <a:srgbClr val="002060"/>
              </a:solidFill>
              <a:effectLst/>
              <a:latin typeface="+mn-lt"/>
              <a:ea typeface="+mn-ea"/>
              <a:cs typeface="+mn-cs"/>
            </a:rPr>
            <a:t> counsel frequency</a:t>
          </a:r>
          <a:endParaRPr lang="en-AU" sz="1100" b="1" u="none">
            <a:solidFill>
              <a:srgbClr val="002060"/>
            </a:solidFill>
            <a:latin typeface="+mn-lt"/>
            <a:ea typeface="Tahoma" pitchFamily="34" charset="0"/>
            <a:cs typeface="Tahoma" pitchFamily="34" charset="0"/>
          </a:endParaRPr>
        </a:p>
      </xdr:txBody>
    </xdr:sp>
    <xdr:clientData/>
  </xdr:twoCellAnchor>
  <xdr:twoCellAnchor>
    <xdr:from>
      <xdr:col>2</xdr:col>
      <xdr:colOff>223572</xdr:colOff>
      <xdr:row>45</xdr:row>
      <xdr:rowOff>0</xdr:rowOff>
    </xdr:from>
    <xdr:to>
      <xdr:col>8</xdr:col>
      <xdr:colOff>359834</xdr:colOff>
      <xdr:row>46</xdr:row>
      <xdr:rowOff>158750</xdr:rowOff>
    </xdr:to>
    <xdr:sp macro="" textlink="">
      <xdr:nvSpPr>
        <xdr:cNvPr id="23" name="Rectangle 22">
          <a:extLst>
            <a:ext uri="{FF2B5EF4-FFF2-40B4-BE49-F238E27FC236}">
              <a16:creationId xmlns:a16="http://schemas.microsoft.com/office/drawing/2014/main" id="{00000000-0008-0000-0500-000017000000}"/>
            </a:ext>
          </a:extLst>
        </xdr:cNvPr>
        <xdr:cNvSpPr/>
      </xdr:nvSpPr>
      <xdr:spPr>
        <a:xfrm>
          <a:off x="1345405" y="8974667"/>
          <a:ext cx="3501762" cy="3492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a:t>
          </a:r>
          <a:r>
            <a:rPr lang="en-AU" sz="1100" b="1" u="none" baseline="0">
              <a:solidFill>
                <a:srgbClr val="002060"/>
              </a:solidFill>
              <a:latin typeface="+mn-lt"/>
              <a:ea typeface="Tahoma" pitchFamily="34" charset="0"/>
              <a:cs typeface="Tahoma" pitchFamily="34" charset="0"/>
            </a:rPr>
            <a:t> disen</a:t>
          </a:r>
          <a:r>
            <a:rPr lang="en-AU" sz="1100" b="1" u="none">
              <a:solidFill>
                <a:srgbClr val="002060"/>
              </a:solidFill>
              <a:latin typeface="+mn-lt"/>
              <a:ea typeface="Tahoma" pitchFamily="34" charset="0"/>
              <a:cs typeface="Tahoma" pitchFamily="34" charset="0"/>
            </a:rPr>
            <a:t>gagement split</a:t>
          </a:r>
        </a:p>
      </xdr:txBody>
    </xdr:sp>
    <xdr:clientData/>
  </xdr:twoCellAnchor>
  <xdr:twoCellAnchor>
    <xdr:from>
      <xdr:col>2</xdr:col>
      <xdr:colOff>105838</xdr:colOff>
      <xdr:row>103</xdr:row>
      <xdr:rowOff>10585</xdr:rowOff>
    </xdr:from>
    <xdr:to>
      <xdr:col>8</xdr:col>
      <xdr:colOff>264583</xdr:colOff>
      <xdr:row>104</xdr:row>
      <xdr:rowOff>232832</xdr:rowOff>
    </xdr:to>
    <xdr:sp macro="" textlink="">
      <xdr:nvSpPr>
        <xdr:cNvPr id="24" name="Rectangle 23">
          <a:extLst>
            <a:ext uri="{FF2B5EF4-FFF2-40B4-BE49-F238E27FC236}">
              <a16:creationId xmlns:a16="http://schemas.microsoft.com/office/drawing/2014/main" id="{00000000-0008-0000-0500-000018000000}"/>
            </a:ext>
          </a:extLst>
        </xdr:cNvPr>
        <xdr:cNvSpPr/>
      </xdr:nvSpPr>
      <xdr:spPr>
        <a:xfrm>
          <a:off x="1227671" y="19907252"/>
          <a:ext cx="3524245" cy="41274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 add-on </a:t>
          </a:r>
        </a:p>
        <a:p>
          <a:pPr algn="ctr"/>
          <a:r>
            <a:rPr lang="en-AU" sz="1100" b="1" u="none">
              <a:solidFill>
                <a:srgbClr val="002060"/>
              </a:solidFill>
              <a:latin typeface="+mn-lt"/>
              <a:ea typeface="Tahoma" pitchFamily="34" charset="0"/>
              <a:cs typeface="Tahoma" pitchFamily="34" charset="0"/>
            </a:rPr>
            <a:t>medicines</a:t>
          </a:r>
          <a:r>
            <a:rPr lang="en-AU" sz="1100" b="1" u="none" baseline="0">
              <a:solidFill>
                <a:srgbClr val="002060"/>
              </a:solidFill>
              <a:latin typeface="+mn-lt"/>
              <a:ea typeface="Tahoma" pitchFamily="34" charset="0"/>
              <a:cs typeface="Tahoma" pitchFamily="34" charset="0"/>
            </a:rPr>
            <a:t> </a:t>
          </a:r>
          <a:r>
            <a:rPr lang="en-AU" sz="1100" b="1" u="none">
              <a:solidFill>
                <a:srgbClr val="002060"/>
              </a:solidFill>
              <a:latin typeface="+mn-lt"/>
              <a:ea typeface="Tahoma" pitchFamily="34" charset="0"/>
              <a:cs typeface="Tahoma" pitchFamily="34" charset="0"/>
            </a:rPr>
            <a:t>ratio</a:t>
          </a:r>
        </a:p>
      </xdr:txBody>
    </xdr:sp>
    <xdr:clientData/>
  </xdr:twoCellAnchor>
  <xdr:twoCellAnchor>
    <xdr:from>
      <xdr:col>2</xdr:col>
      <xdr:colOff>211657</xdr:colOff>
      <xdr:row>60</xdr:row>
      <xdr:rowOff>10583</xdr:rowOff>
    </xdr:from>
    <xdr:to>
      <xdr:col>8</xdr:col>
      <xdr:colOff>306917</xdr:colOff>
      <xdr:row>62</xdr:row>
      <xdr:rowOff>10583</xdr:rowOff>
    </xdr:to>
    <xdr:sp macro="" textlink="">
      <xdr:nvSpPr>
        <xdr:cNvPr id="42" name="Rectangle 41">
          <a:extLst>
            <a:ext uri="{FF2B5EF4-FFF2-40B4-BE49-F238E27FC236}">
              <a16:creationId xmlns:a16="http://schemas.microsoft.com/office/drawing/2014/main" id="{00000000-0008-0000-0500-00002A000000}"/>
            </a:ext>
          </a:extLst>
        </xdr:cNvPr>
        <xdr:cNvSpPr/>
      </xdr:nvSpPr>
      <xdr:spPr>
        <a:xfrm>
          <a:off x="1333490" y="11842750"/>
          <a:ext cx="3460760" cy="42333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Script customer proactive medicine                         counsel duration</a:t>
          </a:r>
        </a:p>
      </xdr:txBody>
    </xdr:sp>
    <xdr:clientData/>
  </xdr:twoCellAnchor>
  <xdr:twoCellAnchor>
    <xdr:from>
      <xdr:col>2</xdr:col>
      <xdr:colOff>179916</xdr:colOff>
      <xdr:row>74</xdr:row>
      <xdr:rowOff>35984</xdr:rowOff>
    </xdr:from>
    <xdr:to>
      <xdr:col>8</xdr:col>
      <xdr:colOff>296333</xdr:colOff>
      <xdr:row>76</xdr:row>
      <xdr:rowOff>105834</xdr:rowOff>
    </xdr:to>
    <xdr:sp macro="" textlink="">
      <xdr:nvSpPr>
        <xdr:cNvPr id="43" name="Rectangle 42">
          <a:extLst>
            <a:ext uri="{FF2B5EF4-FFF2-40B4-BE49-F238E27FC236}">
              <a16:creationId xmlns:a16="http://schemas.microsoft.com/office/drawing/2014/main" id="{00000000-0008-0000-0500-00002B000000}"/>
            </a:ext>
          </a:extLst>
        </xdr:cNvPr>
        <xdr:cNvSpPr/>
      </xdr:nvSpPr>
      <xdr:spPr>
        <a:xfrm>
          <a:off x="1301749" y="14492817"/>
          <a:ext cx="3481917" cy="40851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u="none">
              <a:solidFill>
                <a:srgbClr val="002060"/>
              </a:solidFill>
              <a:latin typeface="+mn-lt"/>
              <a:ea typeface="Tahoma" pitchFamily="34" charset="0"/>
              <a:cs typeface="Tahoma" pitchFamily="34" charset="0"/>
            </a:rPr>
            <a:t>Combined script customer proactive health PLUS proactive solution selling duration</a:t>
          </a:r>
        </a:p>
      </xdr:txBody>
    </xdr:sp>
    <xdr:clientData/>
  </xdr:twoCellAnchor>
  <xdr:twoCellAnchor>
    <xdr:from>
      <xdr:col>0</xdr:col>
      <xdr:colOff>304800</xdr:colOff>
      <xdr:row>20</xdr:row>
      <xdr:rowOff>133352</xdr:rowOff>
    </xdr:from>
    <xdr:to>
      <xdr:col>10</xdr:col>
      <xdr:colOff>74082</xdr:colOff>
      <xdr:row>30</xdr:row>
      <xdr:rowOff>148168</xdr:rowOff>
    </xdr:to>
    <xdr:graphicFrame macro="">
      <xdr:nvGraphicFramePr>
        <xdr:cNvPr id="48" name="Chart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342193</xdr:colOff>
      <xdr:row>33</xdr:row>
      <xdr:rowOff>150635</xdr:rowOff>
    </xdr:from>
    <xdr:to>
      <xdr:col>10</xdr:col>
      <xdr:colOff>95250</xdr:colOff>
      <xdr:row>43</xdr:row>
      <xdr:rowOff>179917</xdr:rowOff>
    </xdr:to>
    <xdr:graphicFrame macro="">
      <xdr:nvGraphicFramePr>
        <xdr:cNvPr id="49" name="Chart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328083</xdr:colOff>
      <xdr:row>47</xdr:row>
      <xdr:rowOff>123824</xdr:rowOff>
    </xdr:from>
    <xdr:to>
      <xdr:col>10</xdr:col>
      <xdr:colOff>95251</xdr:colOff>
      <xdr:row>57</xdr:row>
      <xdr:rowOff>137583</xdr:rowOff>
    </xdr:to>
    <xdr:graphicFrame macro="">
      <xdr:nvGraphicFramePr>
        <xdr:cNvPr id="50" name="Chart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361950</xdr:colOff>
      <xdr:row>23</xdr:row>
      <xdr:rowOff>96309</xdr:rowOff>
    </xdr:from>
    <xdr:to>
      <xdr:col>10</xdr:col>
      <xdr:colOff>169696</xdr:colOff>
      <xdr:row>24</xdr:row>
      <xdr:rowOff>125470</xdr:rowOff>
    </xdr:to>
    <xdr:sp macro="" textlink="Data!G15">
      <xdr:nvSpPr>
        <xdr:cNvPr id="61" name="TextBox 1">
          <a:extLst>
            <a:ext uri="{FF2B5EF4-FFF2-40B4-BE49-F238E27FC236}">
              <a16:creationId xmlns:a16="http://schemas.microsoft.com/office/drawing/2014/main" id="{00000000-0008-0000-0500-00003D000000}"/>
            </a:ext>
          </a:extLst>
        </xdr:cNvPr>
        <xdr:cNvSpPr txBox="1"/>
      </xdr:nvSpPr>
      <xdr:spPr>
        <a:xfrm>
          <a:off x="4857750" y="4573059"/>
          <a:ext cx="931696" cy="219661"/>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0BA8645A-F0CD-40B6-BE1A-13EAFFC0DA51}" type="TxLink">
            <a:rPr lang="en-US" sz="900" b="0" i="0" u="none" strike="noStrike">
              <a:solidFill>
                <a:srgbClr val="000000"/>
              </a:solidFill>
              <a:latin typeface="Calibri"/>
              <a:sym typeface="Symbol"/>
            </a:rPr>
            <a:pPr algn="ctr"/>
            <a:t>06:00</a:t>
          </a:fld>
          <a:endParaRPr lang="en-AU" sz="500">
            <a:sym typeface="Symbol"/>
          </a:endParaRPr>
        </a:p>
      </xdr:txBody>
    </xdr:sp>
    <xdr:clientData/>
  </xdr:twoCellAnchor>
  <xdr:twoCellAnchor>
    <xdr:from>
      <xdr:col>8</xdr:col>
      <xdr:colOff>353483</xdr:colOff>
      <xdr:row>25</xdr:row>
      <xdr:rowOff>166159</xdr:rowOff>
    </xdr:from>
    <xdr:to>
      <xdr:col>10</xdr:col>
      <xdr:colOff>161229</xdr:colOff>
      <xdr:row>27</xdr:row>
      <xdr:rowOff>4820</xdr:rowOff>
    </xdr:to>
    <xdr:sp macro="" textlink="Data!G14">
      <xdr:nvSpPr>
        <xdr:cNvPr id="62" name="TextBox 1">
          <a:extLst>
            <a:ext uri="{FF2B5EF4-FFF2-40B4-BE49-F238E27FC236}">
              <a16:creationId xmlns:a16="http://schemas.microsoft.com/office/drawing/2014/main" id="{00000000-0008-0000-0500-00003E000000}"/>
            </a:ext>
          </a:extLst>
        </xdr:cNvPr>
        <xdr:cNvSpPr txBox="1"/>
      </xdr:nvSpPr>
      <xdr:spPr>
        <a:xfrm>
          <a:off x="4849283" y="5023909"/>
          <a:ext cx="931696" cy="191086"/>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fld id="{5E0CC143-0385-49B4-A925-6DC8E728447A}" type="TxLink">
            <a:rPr lang="en-US" sz="900" b="0" i="0" u="none" strike="noStrike">
              <a:solidFill>
                <a:srgbClr val="000000"/>
              </a:solidFill>
              <a:latin typeface="Calibri"/>
              <a:sym typeface="Symbol"/>
            </a:rPr>
            <a:pPr algn="ctr"/>
            <a:t>04:55</a:t>
          </a:fld>
          <a:endParaRPr lang="en-AU" sz="500">
            <a:sym typeface="Symbol"/>
          </a:endParaRPr>
        </a:p>
      </xdr:txBody>
    </xdr:sp>
    <xdr:clientData/>
  </xdr:twoCellAnchor>
  <xdr:twoCellAnchor>
    <xdr:from>
      <xdr:col>3</xdr:col>
      <xdr:colOff>199369</xdr:colOff>
      <xdr:row>29</xdr:row>
      <xdr:rowOff>128961</xdr:rowOff>
    </xdr:from>
    <xdr:to>
      <xdr:col>3</xdr:col>
      <xdr:colOff>528314</xdr:colOff>
      <xdr:row>29</xdr:row>
      <xdr:rowOff>128964</xdr:rowOff>
    </xdr:to>
    <xdr:cxnSp macro="">
      <xdr:nvCxnSpPr>
        <xdr:cNvPr id="63" name="Straight Connector 62">
          <a:extLst>
            <a:ext uri="{FF2B5EF4-FFF2-40B4-BE49-F238E27FC236}">
              <a16:creationId xmlns:a16="http://schemas.microsoft.com/office/drawing/2014/main" id="{00000000-0008-0000-0500-00003F000000}"/>
            </a:ext>
          </a:extLst>
        </xdr:cNvPr>
        <xdr:cNvCxnSpPr/>
      </xdr:nvCxnSpPr>
      <xdr:spPr>
        <a:xfrm>
          <a:off x="1885294" y="5720136"/>
          <a:ext cx="328945" cy="3"/>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31750</xdr:colOff>
      <xdr:row>29</xdr:row>
      <xdr:rowOff>148166</xdr:rowOff>
    </xdr:from>
    <xdr:to>
      <xdr:col>10</xdr:col>
      <xdr:colOff>148158</xdr:colOff>
      <xdr:row>29</xdr:row>
      <xdr:rowOff>148166</xdr:rowOff>
    </xdr:to>
    <xdr:cxnSp macro="">
      <xdr:nvCxnSpPr>
        <xdr:cNvPr id="64" name="Straight Connector 63">
          <a:extLst>
            <a:ext uri="{FF2B5EF4-FFF2-40B4-BE49-F238E27FC236}">
              <a16:creationId xmlns:a16="http://schemas.microsoft.com/office/drawing/2014/main" id="{00000000-0008-0000-0500-000040000000}"/>
            </a:ext>
          </a:extLst>
        </xdr:cNvPr>
        <xdr:cNvCxnSpPr/>
      </xdr:nvCxnSpPr>
      <xdr:spPr>
        <a:xfrm>
          <a:off x="3958167" y="6074833"/>
          <a:ext cx="1799158" cy="0"/>
        </a:xfrm>
        <a:prstGeom prst="line">
          <a:avLst/>
        </a:prstGeom>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146842</xdr:colOff>
      <xdr:row>29</xdr:row>
      <xdr:rowOff>137582</xdr:rowOff>
    </xdr:from>
    <xdr:to>
      <xdr:col>10</xdr:col>
      <xdr:colOff>148158</xdr:colOff>
      <xdr:row>44</xdr:row>
      <xdr:rowOff>190499</xdr:rowOff>
    </xdr:to>
    <xdr:cxnSp macro="">
      <xdr:nvCxnSpPr>
        <xdr:cNvPr id="65" name="Straight Arrow Connector 64">
          <a:extLst>
            <a:ext uri="{FF2B5EF4-FFF2-40B4-BE49-F238E27FC236}">
              <a16:creationId xmlns:a16="http://schemas.microsoft.com/office/drawing/2014/main" id="{00000000-0008-0000-0500-000041000000}"/>
            </a:ext>
          </a:extLst>
        </xdr:cNvPr>
        <xdr:cNvCxnSpPr/>
      </xdr:nvCxnSpPr>
      <xdr:spPr>
        <a:xfrm>
          <a:off x="5756009" y="6064249"/>
          <a:ext cx="1316" cy="2910417"/>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209952</xdr:colOff>
      <xdr:row>29</xdr:row>
      <xdr:rowOff>127000</xdr:rowOff>
    </xdr:from>
    <xdr:to>
      <xdr:col>3</xdr:col>
      <xdr:colOff>209952</xdr:colOff>
      <xdr:row>31</xdr:row>
      <xdr:rowOff>44308</xdr:rowOff>
    </xdr:to>
    <xdr:cxnSp macro="">
      <xdr:nvCxnSpPr>
        <xdr:cNvPr id="66" name="Straight Arrow Connector 65">
          <a:extLst>
            <a:ext uri="{FF2B5EF4-FFF2-40B4-BE49-F238E27FC236}">
              <a16:creationId xmlns:a16="http://schemas.microsoft.com/office/drawing/2014/main" id="{00000000-0008-0000-0500-000042000000}"/>
            </a:ext>
          </a:extLst>
        </xdr:cNvPr>
        <xdr:cNvCxnSpPr/>
      </xdr:nvCxnSpPr>
      <xdr:spPr>
        <a:xfrm>
          <a:off x="1895877" y="5718175"/>
          <a:ext cx="0" cy="29830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325968</xdr:colOff>
      <xdr:row>25</xdr:row>
      <xdr:rowOff>135467</xdr:rowOff>
    </xdr:from>
    <xdr:to>
      <xdr:col>11</xdr:col>
      <xdr:colOff>0</xdr:colOff>
      <xdr:row>26</xdr:row>
      <xdr:rowOff>156634</xdr:rowOff>
    </xdr:to>
    <xdr:sp macro="" textlink="">
      <xdr:nvSpPr>
        <xdr:cNvPr id="74" name="TextBox 73">
          <a:extLst>
            <a:ext uri="{FF2B5EF4-FFF2-40B4-BE49-F238E27FC236}">
              <a16:creationId xmlns:a16="http://schemas.microsoft.com/office/drawing/2014/main" id="{00000000-0008-0000-0500-00004A000000}"/>
            </a:ext>
          </a:extLst>
        </xdr:cNvPr>
        <xdr:cNvSpPr txBox="1"/>
      </xdr:nvSpPr>
      <xdr:spPr>
        <a:xfrm>
          <a:off x="5945718" y="4993217"/>
          <a:ext cx="255059"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AU" sz="1200"/>
        </a:p>
      </xdr:txBody>
    </xdr:sp>
    <xdr:clientData/>
  </xdr:twoCellAnchor>
  <xdr:twoCellAnchor>
    <xdr:from>
      <xdr:col>10</xdr:col>
      <xdr:colOff>457201</xdr:colOff>
      <xdr:row>29</xdr:row>
      <xdr:rowOff>97367</xdr:rowOff>
    </xdr:from>
    <xdr:to>
      <xdr:col>11</xdr:col>
      <xdr:colOff>0</xdr:colOff>
      <xdr:row>30</xdr:row>
      <xdr:rowOff>118534</xdr:rowOff>
    </xdr:to>
    <xdr:sp macro="" textlink="">
      <xdr:nvSpPr>
        <xdr:cNvPr id="75" name="TextBox 74">
          <a:extLst>
            <a:ext uri="{FF2B5EF4-FFF2-40B4-BE49-F238E27FC236}">
              <a16:creationId xmlns:a16="http://schemas.microsoft.com/office/drawing/2014/main" id="{00000000-0008-0000-0500-00004B000000}"/>
            </a:ext>
          </a:extLst>
        </xdr:cNvPr>
        <xdr:cNvSpPr txBox="1"/>
      </xdr:nvSpPr>
      <xdr:spPr>
        <a:xfrm>
          <a:off x="6076951" y="5688542"/>
          <a:ext cx="255059"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en-AU" sz="1200"/>
        </a:p>
      </xdr:txBody>
    </xdr:sp>
    <xdr:clientData/>
  </xdr:twoCellAnchor>
  <xdr:twoCellAnchor>
    <xdr:from>
      <xdr:col>0</xdr:col>
      <xdr:colOff>52916</xdr:colOff>
      <xdr:row>2</xdr:row>
      <xdr:rowOff>338668</xdr:rowOff>
    </xdr:from>
    <xdr:to>
      <xdr:col>10</xdr:col>
      <xdr:colOff>254000</xdr:colOff>
      <xdr:row>101</xdr:row>
      <xdr:rowOff>137583</xdr:rowOff>
    </xdr:to>
    <xdr:sp macro="" textlink="">
      <xdr:nvSpPr>
        <xdr:cNvPr id="140" name="Rectangle 139">
          <a:extLst>
            <a:ext uri="{FF2B5EF4-FFF2-40B4-BE49-F238E27FC236}">
              <a16:creationId xmlns:a16="http://schemas.microsoft.com/office/drawing/2014/main" id="{00000000-0008-0000-0500-00008C000000}"/>
            </a:ext>
          </a:extLst>
        </xdr:cNvPr>
        <xdr:cNvSpPr/>
      </xdr:nvSpPr>
      <xdr:spPr>
        <a:xfrm>
          <a:off x="52916" y="677335"/>
          <a:ext cx="5810251" cy="18637248"/>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52916</xdr:colOff>
      <xdr:row>102</xdr:row>
      <xdr:rowOff>0</xdr:rowOff>
    </xdr:from>
    <xdr:to>
      <xdr:col>10</xdr:col>
      <xdr:colOff>254000</xdr:colOff>
      <xdr:row>118</xdr:row>
      <xdr:rowOff>105832</xdr:rowOff>
    </xdr:to>
    <xdr:sp macro="" textlink="">
      <xdr:nvSpPr>
        <xdr:cNvPr id="142" name="Rectangle 141">
          <a:extLst>
            <a:ext uri="{FF2B5EF4-FFF2-40B4-BE49-F238E27FC236}">
              <a16:creationId xmlns:a16="http://schemas.microsoft.com/office/drawing/2014/main" id="{00000000-0008-0000-0500-00008E000000}"/>
            </a:ext>
          </a:extLst>
        </xdr:cNvPr>
        <xdr:cNvSpPr/>
      </xdr:nvSpPr>
      <xdr:spPr>
        <a:xfrm>
          <a:off x="52916" y="19367500"/>
          <a:ext cx="5810251" cy="3206749"/>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137584</xdr:colOff>
      <xdr:row>0</xdr:row>
      <xdr:rowOff>169334</xdr:rowOff>
    </xdr:from>
    <xdr:to>
      <xdr:col>10</xdr:col>
      <xdr:colOff>211666</xdr:colOff>
      <xdr:row>2</xdr:row>
      <xdr:rowOff>201084</xdr:rowOff>
    </xdr:to>
    <xdr:sp macro="" textlink="">
      <xdr:nvSpPr>
        <xdr:cNvPr id="29" name="Rectangle 28">
          <a:extLst>
            <a:ext uri="{FF2B5EF4-FFF2-40B4-BE49-F238E27FC236}">
              <a16:creationId xmlns:a16="http://schemas.microsoft.com/office/drawing/2014/main" id="{00000000-0008-0000-0500-00001D000000}"/>
            </a:ext>
          </a:extLst>
        </xdr:cNvPr>
        <xdr:cNvSpPr/>
      </xdr:nvSpPr>
      <xdr:spPr>
        <a:xfrm>
          <a:off x="137584" y="169334"/>
          <a:ext cx="5683249" cy="70908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AU" sz="1100" b="1">
              <a:solidFill>
                <a:srgbClr val="002060"/>
              </a:solidFill>
              <a:effectLst/>
              <a:latin typeface="Tahoma" panose="020B0604030504040204" pitchFamily="34" charset="0"/>
              <a:ea typeface="Tahoma" panose="020B0604030504040204" pitchFamily="34" charset="0"/>
              <a:cs typeface="Tahoma" panose="020B0604030504040204" pitchFamily="34" charset="0"/>
            </a:rPr>
            <a:t>SCRIPT CUSTOMER ENGAGEMENT AND SOLUTION EFFECTIVENESS </a:t>
          </a:r>
          <a:endParaRPr lang="en-AU" sz="1100" b="1" u="none">
            <a:solidFill>
              <a:srgbClr val="002060"/>
            </a:solidFill>
            <a:latin typeface="Tahoma" pitchFamily="34" charset="0"/>
            <a:ea typeface="Tahoma" pitchFamily="34" charset="0"/>
            <a:cs typeface="Tahoma" pitchFamily="34" charset="0"/>
          </a:endParaRPr>
        </a:p>
      </xdr:txBody>
    </xdr:sp>
    <xdr:clientData/>
  </xdr:twoCellAnchor>
  <xdr:twoCellAnchor>
    <xdr:from>
      <xdr:col>10</xdr:col>
      <xdr:colOff>508000</xdr:colOff>
      <xdr:row>33</xdr:row>
      <xdr:rowOff>173567</xdr:rowOff>
    </xdr:from>
    <xdr:to>
      <xdr:col>17</xdr:col>
      <xdr:colOff>201083</xdr:colOff>
      <xdr:row>43</xdr:row>
      <xdr:rowOff>169333</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560916</xdr:colOff>
      <xdr:row>35</xdr:row>
      <xdr:rowOff>137583</xdr:rowOff>
    </xdr:from>
    <xdr:to>
      <xdr:col>10</xdr:col>
      <xdr:colOff>508000</xdr:colOff>
      <xdr:row>36</xdr:row>
      <xdr:rowOff>63500</xdr:rowOff>
    </xdr:to>
    <xdr:sp macro="" textlink="">
      <xdr:nvSpPr>
        <xdr:cNvPr id="33" name="Left-Right Arrow 32">
          <a:extLst>
            <a:ext uri="{FF2B5EF4-FFF2-40B4-BE49-F238E27FC236}">
              <a16:creationId xmlns:a16="http://schemas.microsoft.com/office/drawing/2014/main" id="{00000000-0008-0000-0500-000021000000}"/>
            </a:ext>
          </a:extLst>
        </xdr:cNvPr>
        <xdr:cNvSpPr/>
      </xdr:nvSpPr>
      <xdr:spPr>
        <a:xfrm>
          <a:off x="5609166" y="7207250"/>
          <a:ext cx="508001" cy="116417"/>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188804</xdr:colOff>
      <xdr:row>6</xdr:row>
      <xdr:rowOff>106636</xdr:rowOff>
    </xdr:from>
    <xdr:to>
      <xdr:col>8</xdr:col>
      <xdr:colOff>211665</xdr:colOff>
      <xdr:row>16</xdr:row>
      <xdr:rowOff>122722</xdr:rowOff>
    </xdr:to>
    <xdr:pic>
      <xdr:nvPicPr>
        <xdr:cNvPr id="19552" name="M.1">
          <a:extLst>
            <a:ext uri="{FF2B5EF4-FFF2-40B4-BE49-F238E27FC236}">
              <a16:creationId xmlns:a16="http://schemas.microsoft.com/office/drawing/2014/main" id="{00000000-0008-0000-0500-0000604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4812"/>
        <a:stretch/>
      </xdr:blipFill>
      <xdr:spPr bwMode="auto">
        <a:xfrm>
          <a:off x="1238671" y="1749169"/>
          <a:ext cx="3172461" cy="181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492939</xdr:colOff>
      <xdr:row>91</xdr:row>
      <xdr:rowOff>18376</xdr:rowOff>
    </xdr:from>
    <xdr:to>
      <xdr:col>8</xdr:col>
      <xdr:colOff>196851</xdr:colOff>
      <xdr:row>101</xdr:row>
      <xdr:rowOff>10584</xdr:rowOff>
    </xdr:to>
    <xdr:pic>
      <xdr:nvPicPr>
        <xdr:cNvPr id="15381" name="M.7">
          <a:extLst>
            <a:ext uri="{FF2B5EF4-FFF2-40B4-BE49-F238E27FC236}">
              <a16:creationId xmlns:a16="http://schemas.microsoft.com/office/drawing/2014/main" id="{00000000-0008-0000-0500-0000153C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41775"/>
        <a:stretch/>
      </xdr:blipFill>
      <xdr:spPr bwMode="auto">
        <a:xfrm>
          <a:off x="1614772" y="17629043"/>
          <a:ext cx="3069412" cy="1897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144785</xdr:colOff>
      <xdr:row>108</xdr:row>
      <xdr:rowOff>67735</xdr:rowOff>
    </xdr:from>
    <xdr:to>
      <xdr:col>8</xdr:col>
      <xdr:colOff>214440</xdr:colOff>
      <xdr:row>117</xdr:row>
      <xdr:rowOff>1</xdr:rowOff>
    </xdr:to>
    <xdr:pic>
      <xdr:nvPicPr>
        <xdr:cNvPr id="19819" name="M.15">
          <a:extLst>
            <a:ext uri="{FF2B5EF4-FFF2-40B4-BE49-F238E27FC236}">
              <a16:creationId xmlns:a16="http://schemas.microsoft.com/office/drawing/2014/main" id="{00000000-0008-0000-0500-00006B4D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 b="46892"/>
        <a:stretch/>
      </xdr:blipFill>
      <xdr:spPr bwMode="auto">
        <a:xfrm>
          <a:off x="1266618" y="20969818"/>
          <a:ext cx="3435155" cy="1646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364285</xdr:colOff>
      <xdr:row>64</xdr:row>
      <xdr:rowOff>103633</xdr:rowOff>
    </xdr:from>
    <xdr:to>
      <xdr:col>8</xdr:col>
      <xdr:colOff>159161</xdr:colOff>
      <xdr:row>73</xdr:row>
      <xdr:rowOff>84667</xdr:rowOff>
    </xdr:to>
    <xdr:pic>
      <xdr:nvPicPr>
        <xdr:cNvPr id="15379" name="M.5">
          <a:extLst>
            <a:ext uri="{FF2B5EF4-FFF2-40B4-BE49-F238E27FC236}">
              <a16:creationId xmlns:a16="http://schemas.microsoft.com/office/drawing/2014/main" id="{00000000-0008-0000-0500-0000133C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45499"/>
        <a:stretch/>
      </xdr:blipFill>
      <xdr:spPr bwMode="auto">
        <a:xfrm>
          <a:off x="1486118" y="12655466"/>
          <a:ext cx="3160376" cy="1695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65828</xdr:colOff>
      <xdr:row>78</xdr:row>
      <xdr:rowOff>49413</xdr:rowOff>
    </xdr:from>
    <xdr:to>
      <xdr:col>8</xdr:col>
      <xdr:colOff>135467</xdr:colOff>
      <xdr:row>87</xdr:row>
      <xdr:rowOff>1</xdr:rowOff>
    </xdr:to>
    <xdr:pic>
      <xdr:nvPicPr>
        <xdr:cNvPr id="15380" name="M.6">
          <a:extLst>
            <a:ext uri="{FF2B5EF4-FFF2-40B4-BE49-F238E27FC236}">
              <a16:creationId xmlns:a16="http://schemas.microsoft.com/office/drawing/2014/main" id="{00000000-0008-0000-0500-0000143C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45219"/>
        <a:stretch/>
      </xdr:blipFill>
      <xdr:spPr bwMode="auto">
        <a:xfrm>
          <a:off x="1187661" y="15225913"/>
          <a:ext cx="3435139" cy="1665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0.82022</cdr:x>
      <cdr:y>0.32184</cdr:y>
    </cdr:from>
    <cdr:to>
      <cdr:x>1</cdr:x>
      <cdr:y>0.43103</cdr:y>
    </cdr:to>
    <cdr:sp macro="" textlink="">
      <cdr:nvSpPr>
        <cdr:cNvPr id="3" name="TextBox 2"/>
        <cdr:cNvSpPr txBox="1"/>
      </cdr:nvSpPr>
      <cdr:spPr>
        <a:xfrm xmlns:a="http://schemas.openxmlformats.org/drawingml/2006/main">
          <a:off x="4171950" y="533400"/>
          <a:ext cx="91440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userShapes>
</file>

<file path=xl/drawings/drawing8.xml><?xml version="1.0" encoding="utf-8"?>
<c:userShapes xmlns:c="http://schemas.openxmlformats.org/drawingml/2006/chart">
  <cdr:relSizeAnchor xmlns:cdr="http://schemas.openxmlformats.org/drawingml/2006/chartDrawing">
    <cdr:from>
      <cdr:x>0.82022</cdr:x>
      <cdr:y>0.32184</cdr:y>
    </cdr:from>
    <cdr:to>
      <cdr:x>1</cdr:x>
      <cdr:y>0.43103</cdr:y>
    </cdr:to>
    <cdr:sp macro="" textlink="">
      <cdr:nvSpPr>
        <cdr:cNvPr id="3" name="TextBox 2"/>
        <cdr:cNvSpPr txBox="1"/>
      </cdr:nvSpPr>
      <cdr:spPr>
        <a:xfrm xmlns:a="http://schemas.openxmlformats.org/drawingml/2006/main">
          <a:off x="4171950" y="533400"/>
          <a:ext cx="91440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dr:relSizeAnchor xmlns:cdr="http://schemas.openxmlformats.org/drawingml/2006/chartDrawing">
    <cdr:from>
      <cdr:x>0.82022</cdr:x>
      <cdr:y>0.32184</cdr:y>
    </cdr:from>
    <cdr:to>
      <cdr:x>1</cdr:x>
      <cdr:y>0.43103</cdr:y>
    </cdr:to>
    <cdr:sp macro="" textlink="">
      <cdr:nvSpPr>
        <cdr:cNvPr id="2" name="TextBox 2"/>
        <cdr:cNvSpPr txBox="1"/>
      </cdr:nvSpPr>
      <cdr:spPr>
        <a:xfrm xmlns:a="http://schemas.openxmlformats.org/drawingml/2006/main">
          <a:off x="4171950" y="533400"/>
          <a:ext cx="91440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N" sz="1100"/>
        </a:p>
      </cdr:txBody>
    </cdr:sp>
  </cdr:relSizeAnchor>
  <cdr:relSizeAnchor xmlns:cdr="http://schemas.openxmlformats.org/drawingml/2006/chartDrawing">
    <cdr:from>
      <cdr:x>0.81933</cdr:x>
      <cdr:y>0.00967</cdr:y>
    </cdr:from>
    <cdr:to>
      <cdr:x>1</cdr:x>
      <cdr:y>0.09174</cdr:y>
    </cdr:to>
    <cdr:sp macro="" textlink="">
      <cdr:nvSpPr>
        <cdr:cNvPr id="4" name="TextBox 3"/>
        <cdr:cNvSpPr txBox="1"/>
      </cdr:nvSpPr>
      <cdr:spPr>
        <a:xfrm xmlns:a="http://schemas.openxmlformats.org/drawingml/2006/main">
          <a:off x="4127500" y="18698"/>
          <a:ext cx="910167" cy="1587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AU" sz="900" b="1"/>
            <a:t>time (min:sec)</a:t>
          </a:r>
        </a:p>
      </cdr:txBody>
    </cdr:sp>
  </cdr:relSizeAnchor>
</c:userShapes>
</file>

<file path=xl/drawings/drawing9.xml><?xml version="1.0" encoding="utf-8"?>
<c:userShapes xmlns:c="http://schemas.openxmlformats.org/drawingml/2006/chart">
  <cdr:relSizeAnchor xmlns:cdr="http://schemas.openxmlformats.org/drawingml/2006/chartDrawing">
    <cdr:from>
      <cdr:x>0.82957</cdr:x>
      <cdr:y>0</cdr:y>
    </cdr:from>
    <cdr:to>
      <cdr:x>1</cdr:x>
      <cdr:y>0.1048</cdr:y>
    </cdr:to>
    <cdr:sp macro="" textlink="">
      <cdr:nvSpPr>
        <cdr:cNvPr id="2" name="TextBox 1"/>
        <cdr:cNvSpPr txBox="1"/>
      </cdr:nvSpPr>
      <cdr:spPr>
        <a:xfrm xmlns:a="http://schemas.openxmlformats.org/drawingml/2006/main">
          <a:off x="4275668" y="0"/>
          <a:ext cx="878416" cy="20108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AU" sz="900" b="1"/>
            <a:t>time (min:sec)</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nny/AppData/Local/Temp/Temp1_Priceline%20Pharmacy%20Fairfield%20Central%20final%20report%20-%20November%202017.zip/Priceline%20Pharmacy%20Fairfield%20Central%20final%20report%20v22.3%20Nov%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Introduction"/>
      <sheetName val="Workflow analysis"/>
      <sheetName val="Benchmarking results P1"/>
      <sheetName val="Benchmarking results P2"/>
      <sheetName val="Benchmarking results P3"/>
      <sheetName val="Benchmarking results P4"/>
      <sheetName val="Benchmarking results P5"/>
      <sheetName val="Benchmarking results P6"/>
      <sheetName val="Benchmarking results P7"/>
      <sheetName val="Hypothesis for optimum success"/>
      <sheetName val="Change agenda "/>
      <sheetName val="Data"/>
      <sheetName val="Gauge_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60%</v>
          </cell>
          <cell r="B1">
            <v>0.60194174757281549</v>
          </cell>
          <cell r="C1">
            <v>6684672</v>
          </cell>
          <cell r="D1" t="str">
            <v>Triangular</v>
          </cell>
          <cell r="E1">
            <v>3</v>
          </cell>
          <cell r="F1" t="str">
            <v>First</v>
          </cell>
          <cell r="G1">
            <v>2.8169014084507043E-2</v>
          </cell>
          <cell r="H1">
            <v>0.30357534547049791</v>
          </cell>
          <cell r="I1">
            <v>13395456</v>
          </cell>
        </row>
        <row r="2">
          <cell r="A2" t="str">
            <v>51%</v>
          </cell>
          <cell r="B2">
            <v>0.51195201611701457</v>
          </cell>
          <cell r="C2">
            <v>255</v>
          </cell>
          <cell r="D2" t="str">
            <v>Triangular</v>
          </cell>
          <cell r="E2">
            <v>3</v>
          </cell>
          <cell r="F2" t="str">
            <v>Mid</v>
          </cell>
          <cell r="G2">
            <v>0.30357534547049791</v>
          </cell>
          <cell r="H2">
            <v>0.71321978913219786</v>
          </cell>
          <cell r="I2">
            <v>16777215</v>
          </cell>
        </row>
        <row r="3">
          <cell r="A3" t="str">
            <v>62%</v>
          </cell>
          <cell r="B3">
            <v>0.62135922330097082</v>
          </cell>
          <cell r="C3">
            <v>6684672</v>
          </cell>
          <cell r="D3" t="str">
            <v>Triangular</v>
          </cell>
          <cell r="E3">
            <v>3</v>
          </cell>
          <cell r="F3" t="str">
            <v>Top</v>
          </cell>
          <cell r="G3">
            <v>0.71321978913219786</v>
          </cell>
          <cell r="H3">
            <v>0.96103896103896103</v>
          </cell>
          <cell r="I3">
            <v>13395456</v>
          </cell>
        </row>
        <row r="4">
          <cell r="A4" t="str">
            <v>49%</v>
          </cell>
          <cell r="B4">
            <v>0.49203786795388338</v>
          </cell>
          <cell r="C4">
            <v>255</v>
          </cell>
          <cell r="D4" t="str">
            <v>Triangular</v>
          </cell>
          <cell r="E4">
            <v>3</v>
          </cell>
          <cell r="F4" t="str">
            <v>First</v>
          </cell>
          <cell r="G4">
            <v>2.1505376344086023E-2</v>
          </cell>
          <cell r="H4">
            <v>0.33489096573208721</v>
          </cell>
          <cell r="I4">
            <v>13395456</v>
          </cell>
        </row>
        <row r="5">
          <cell r="A5" t="str">
            <v>00:46</v>
          </cell>
          <cell r="B5">
            <v>5.3211158778595558E-4</v>
          </cell>
          <cell r="C5">
            <v>6684672</v>
          </cell>
          <cell r="D5" t="str">
            <v>Triangular</v>
          </cell>
          <cell r="E5">
            <v>3</v>
          </cell>
          <cell r="F5" t="str">
            <v>Mid</v>
          </cell>
          <cell r="G5">
            <v>0.33489096573208721</v>
          </cell>
          <cell r="H5">
            <v>0.64231404958677685</v>
          </cell>
          <cell r="I5">
            <v>16777215</v>
          </cell>
        </row>
        <row r="6">
          <cell r="A6" t="str">
            <v>00:32</v>
          </cell>
          <cell r="B6">
            <v>3.739997352657249E-4</v>
          </cell>
          <cell r="C6">
            <v>255</v>
          </cell>
          <cell r="D6" t="str">
            <v>Triangular</v>
          </cell>
          <cell r="E6">
            <v>3</v>
          </cell>
          <cell r="F6" t="str">
            <v>Top</v>
          </cell>
          <cell r="G6">
            <v>0.64231404958677685</v>
          </cell>
          <cell r="H6">
            <v>1</v>
          </cell>
          <cell r="I6">
            <v>13395456</v>
          </cell>
        </row>
        <row r="7">
          <cell r="F7" t="str">
            <v>First</v>
          </cell>
          <cell r="G7">
            <v>1.8658539224381756E-5</v>
          </cell>
          <cell r="H7">
            <v>1.7224538593636242E-4</v>
          </cell>
          <cell r="I7">
            <v>13395456</v>
          </cell>
        </row>
        <row r="8">
          <cell r="F8" t="str">
            <v>Mid</v>
          </cell>
          <cell r="G8">
            <v>1.7224538593636242E-4</v>
          </cell>
          <cell r="H8">
            <v>5.2047996342116784E-4</v>
          </cell>
          <cell r="I8">
            <v>16777215</v>
          </cell>
        </row>
        <row r="9">
          <cell r="A9" t="str">
            <v>39%</v>
          </cell>
          <cell r="B9">
            <v>0.39130434782608697</v>
          </cell>
          <cell r="C9">
            <v>6684672</v>
          </cell>
          <cell r="D9" t="str">
            <v>Triangular</v>
          </cell>
          <cell r="E9">
            <v>3</v>
          </cell>
          <cell r="F9" t="str">
            <v>Top</v>
          </cell>
          <cell r="G9">
            <v>5.2047996342116784E-4</v>
          </cell>
          <cell r="H9">
            <v>1.8246944156293434E-3</v>
          </cell>
          <cell r="I9">
            <v>13395456</v>
          </cell>
        </row>
        <row r="10">
          <cell r="A10" t="str">
            <v>55%</v>
          </cell>
          <cell r="B10">
            <v>0.54583990144248928</v>
          </cell>
          <cell r="C10">
            <v>255</v>
          </cell>
          <cell r="D10" t="str">
            <v>Triangular</v>
          </cell>
          <cell r="E10">
            <v>3</v>
          </cell>
          <cell r="F10" t="str">
            <v>First</v>
          </cell>
          <cell r="G10">
            <v>0</v>
          </cell>
          <cell r="H10">
            <v>0.34166666666666667</v>
          </cell>
          <cell r="I10">
            <v>13395456</v>
          </cell>
        </row>
        <row r="11">
          <cell r="A11" t="str">
            <v>29.1</v>
          </cell>
          <cell r="B11" t="str">
            <v>29.1</v>
          </cell>
          <cell r="C11">
            <v>6684672</v>
          </cell>
          <cell r="D11" t="str">
            <v>Triangular</v>
          </cell>
          <cell r="E11">
            <v>3</v>
          </cell>
          <cell r="F11" t="str">
            <v>Mid</v>
          </cell>
          <cell r="G11">
            <v>0.34166666666666667</v>
          </cell>
          <cell r="H11">
            <v>0.73092105263157892</v>
          </cell>
          <cell r="I11">
            <v>16777215</v>
          </cell>
        </row>
        <row r="12">
          <cell r="A12" t="str">
            <v>32.0</v>
          </cell>
          <cell r="B12" t="str">
            <v>32.0</v>
          </cell>
          <cell r="C12">
            <v>255</v>
          </cell>
          <cell r="D12" t="str">
            <v>Triangular</v>
          </cell>
          <cell r="E12">
            <v>3</v>
          </cell>
          <cell r="F12" t="str">
            <v>Top</v>
          </cell>
          <cell r="G12">
            <v>0.73092105263157892</v>
          </cell>
          <cell r="H12">
            <v>1</v>
          </cell>
          <cell r="I12">
            <v>13395456</v>
          </cell>
        </row>
        <row r="13">
          <cell r="A13" t="str">
            <v>156.5</v>
          </cell>
          <cell r="B13">
            <v>156.52173913043478</v>
          </cell>
          <cell r="C13">
            <v>6684672</v>
          </cell>
          <cell r="D13" t="str">
            <v>Triangular</v>
          </cell>
          <cell r="E13">
            <v>3</v>
          </cell>
          <cell r="F13" t="str">
            <v>First</v>
          </cell>
          <cell r="G13">
            <v>2.6315789473684212</v>
          </cell>
          <cell r="H13">
            <v>18.090909090909093</v>
          </cell>
          <cell r="I13">
            <v>13395456</v>
          </cell>
        </row>
        <row r="14">
          <cell r="A14" t="str">
            <v>119.9</v>
          </cell>
          <cell r="B14">
            <v>119.9333997229823</v>
          </cell>
          <cell r="C14">
            <v>255</v>
          </cell>
          <cell r="D14" t="str">
            <v>Triangular</v>
          </cell>
          <cell r="E14">
            <v>3</v>
          </cell>
          <cell r="F14" t="str">
            <v>Mid</v>
          </cell>
          <cell r="G14">
            <v>18.090909090909093</v>
          </cell>
          <cell r="H14">
            <v>43.932103715584063</v>
          </cell>
          <cell r="I14">
            <v>16777215</v>
          </cell>
        </row>
        <row r="15">
          <cell r="A15" t="str">
            <v>13</v>
          </cell>
          <cell r="B15">
            <v>12.5</v>
          </cell>
          <cell r="C15">
            <v>6684672</v>
          </cell>
          <cell r="D15" t="str">
            <v>Triangular</v>
          </cell>
          <cell r="E15">
            <v>3</v>
          </cell>
          <cell r="F15" t="str">
            <v>Top</v>
          </cell>
          <cell r="G15">
            <v>43.932103715584063</v>
          </cell>
          <cell r="H15">
            <v>104.16666666666667</v>
          </cell>
          <cell r="I15">
            <v>13395456</v>
          </cell>
        </row>
        <row r="16">
          <cell r="A16" t="str">
            <v>4</v>
          </cell>
          <cell r="B16">
            <v>4.115354475123385</v>
          </cell>
          <cell r="C16">
            <v>255</v>
          </cell>
          <cell r="D16" t="str">
            <v>Triangular</v>
          </cell>
          <cell r="E16">
            <v>3</v>
          </cell>
          <cell r="F16" t="str">
            <v>First</v>
          </cell>
          <cell r="G16">
            <v>83.333333333333343</v>
          </cell>
          <cell r="H16">
            <v>105.26315789473685</v>
          </cell>
          <cell r="I16">
            <v>13395456</v>
          </cell>
        </row>
        <row r="17">
          <cell r="A17" t="str">
            <v>2749</v>
          </cell>
          <cell r="B17">
            <v>2748.9521931102495</v>
          </cell>
          <cell r="C17">
            <v>6684672</v>
          </cell>
          <cell r="D17" t="str">
            <v>Triangular</v>
          </cell>
          <cell r="E17">
            <v>3</v>
          </cell>
          <cell r="F17" t="str">
            <v>Mid</v>
          </cell>
          <cell r="G17">
            <v>105.26315789473685</v>
          </cell>
          <cell r="H17">
            <v>134.16666666666669</v>
          </cell>
          <cell r="I17">
            <v>16777215</v>
          </cell>
        </row>
        <row r="18">
          <cell r="A18" t="str">
            <v>1759</v>
          </cell>
          <cell r="B18">
            <v>1759.2930845001526</v>
          </cell>
          <cell r="C18">
            <v>255</v>
          </cell>
          <cell r="D18" t="str">
            <v>Triangular</v>
          </cell>
          <cell r="E18">
            <v>3</v>
          </cell>
          <cell r="F18" t="str">
            <v>Top</v>
          </cell>
          <cell r="G18">
            <v>134.16666666666669</v>
          </cell>
          <cell r="H18">
            <v>190</v>
          </cell>
          <cell r="I18">
            <v>13395456</v>
          </cell>
        </row>
        <row r="19">
          <cell r="A19" t="str">
            <v>0.8</v>
          </cell>
          <cell r="B19">
            <v>0.81081081081081086</v>
          </cell>
          <cell r="C19">
            <v>6684672</v>
          </cell>
          <cell r="D19" t="str">
            <v>Triangular</v>
          </cell>
          <cell r="E19">
            <v>3</v>
          </cell>
          <cell r="F19" t="str">
            <v>First</v>
          </cell>
          <cell r="G19">
            <v>0</v>
          </cell>
          <cell r="H19">
            <v>0.16666666666666666</v>
          </cell>
          <cell r="I19">
            <v>13395456</v>
          </cell>
        </row>
        <row r="20">
          <cell r="A20" t="str">
            <v>1.2</v>
          </cell>
          <cell r="B20">
            <v>1.2034272653280358</v>
          </cell>
          <cell r="C20">
            <v>255</v>
          </cell>
          <cell r="D20" t="str">
            <v>Triangular</v>
          </cell>
          <cell r="E20">
            <v>3</v>
          </cell>
          <cell r="F20" t="str">
            <v>Mid</v>
          </cell>
          <cell r="G20">
            <v>0.16666666666666666</v>
          </cell>
          <cell r="H20">
            <v>8.9583333333333321</v>
          </cell>
          <cell r="I20">
            <v>16777215</v>
          </cell>
        </row>
        <row r="21">
          <cell r="A21" t="str">
            <v>66%</v>
          </cell>
          <cell r="B21">
            <v>0.65987702934190762</v>
          </cell>
          <cell r="C21">
            <v>6684672</v>
          </cell>
          <cell r="D21" t="str">
            <v>Triangular</v>
          </cell>
          <cell r="E21">
            <v>3</v>
          </cell>
          <cell r="F21" t="str">
            <v>Top</v>
          </cell>
          <cell r="G21">
            <v>8.9583333333333321</v>
          </cell>
          <cell r="H21">
            <v>23.333333333333332</v>
          </cell>
          <cell r="I21">
            <v>13395456</v>
          </cell>
        </row>
        <row r="22">
          <cell r="A22" t="str">
            <v>49%</v>
          </cell>
          <cell r="B22">
            <v>0.48805812397966508</v>
          </cell>
          <cell r="C22">
            <v>255</v>
          </cell>
          <cell r="D22" t="str">
            <v>Triangular</v>
          </cell>
          <cell r="E22">
            <v>3</v>
          </cell>
          <cell r="F22" t="str">
            <v>First</v>
          </cell>
          <cell r="G22">
            <v>0</v>
          </cell>
          <cell r="H22">
            <v>269.88074379698185</v>
          </cell>
          <cell r="I22">
            <v>13395456</v>
          </cell>
        </row>
        <row r="23">
          <cell r="A23" t="str">
            <v>7.3</v>
          </cell>
          <cell r="B23">
            <v>7.3284551675488343</v>
          </cell>
          <cell r="C23">
            <v>6684672</v>
          </cell>
          <cell r="D23" t="str">
            <v>Triangular</v>
          </cell>
          <cell r="E23">
            <v>3</v>
          </cell>
          <cell r="F23" t="str">
            <v>Mid</v>
          </cell>
          <cell r="G23">
            <v>269.88074379698185</v>
          </cell>
          <cell r="H23">
            <v>3067.0450713723726</v>
          </cell>
          <cell r="I23">
            <v>16777215</v>
          </cell>
        </row>
        <row r="24">
          <cell r="A24" t="str">
            <v>7.7</v>
          </cell>
          <cell r="B24">
            <v>7.7058025386354707</v>
          </cell>
          <cell r="C24">
            <v>255</v>
          </cell>
          <cell r="D24" t="str">
            <v>Triangular</v>
          </cell>
          <cell r="E24">
            <v>3</v>
          </cell>
          <cell r="F24" t="str">
            <v>Top</v>
          </cell>
          <cell r="G24">
            <v>3067.0450713723726</v>
          </cell>
          <cell r="H24">
            <v>9993.1702471128774</v>
          </cell>
          <cell r="I24">
            <v>13395456</v>
          </cell>
        </row>
        <row r="25">
          <cell r="A25" t="str">
            <v>$26.22</v>
          </cell>
          <cell r="B25">
            <v>26.224796990988608</v>
          </cell>
          <cell r="C25">
            <v>6684672</v>
          </cell>
          <cell r="D25" t="str">
            <v>Triangular</v>
          </cell>
          <cell r="E25">
            <v>3</v>
          </cell>
          <cell r="F25" t="str">
            <v>First</v>
          </cell>
          <cell r="G25">
            <v>0</v>
          </cell>
          <cell r="H25">
            <v>0.83974358974358976</v>
          </cell>
          <cell r="I25">
            <v>13395456</v>
          </cell>
        </row>
        <row r="26">
          <cell r="A26" t="str">
            <v>$22.70</v>
          </cell>
          <cell r="B26">
            <v>22.704453016948207</v>
          </cell>
          <cell r="C26">
            <v>255</v>
          </cell>
          <cell r="D26" t="str">
            <v>Triangular</v>
          </cell>
          <cell r="E26">
            <v>3</v>
          </cell>
          <cell r="F26" t="str">
            <v>Mid</v>
          </cell>
          <cell r="G26">
            <v>0.83974358974358976</v>
          </cell>
          <cell r="H26">
            <v>1.5893997445721584</v>
          </cell>
          <cell r="I26">
            <v>16777215</v>
          </cell>
        </row>
        <row r="27">
          <cell r="A27" t="str">
            <v>3.6%</v>
          </cell>
          <cell r="B27">
            <v>3.6110724072267786E-2</v>
          </cell>
          <cell r="C27">
            <v>6684672</v>
          </cell>
          <cell r="D27" t="str">
            <v>Triangular</v>
          </cell>
          <cell r="E27">
            <v>3</v>
          </cell>
          <cell r="F27" t="str">
            <v>Top</v>
          </cell>
          <cell r="G27">
            <v>1.5893997445721584</v>
          </cell>
          <cell r="H27">
            <v>2.48</v>
          </cell>
          <cell r="I27">
            <v>13395456</v>
          </cell>
        </row>
        <row r="28">
          <cell r="A28" t="str">
            <v>1.5%</v>
          </cell>
          <cell r="B28">
            <v>1.5146311132912744E-2</v>
          </cell>
          <cell r="C28">
            <v>255</v>
          </cell>
          <cell r="D28" t="str">
            <v>Triangular</v>
          </cell>
          <cell r="E28">
            <v>3</v>
          </cell>
          <cell r="F28" t="str">
            <v>First</v>
          </cell>
          <cell r="G28">
            <v>3.7415780141843977E-2</v>
          </cell>
          <cell r="H28">
            <v>0.33270472629466419</v>
          </cell>
          <cell r="I28">
            <v>13395456</v>
          </cell>
        </row>
        <row r="29">
          <cell r="A29" t="str">
            <v>12.3%</v>
          </cell>
          <cell r="B29">
            <v>0.12278894340742808</v>
          </cell>
          <cell r="C29">
            <v>6684672</v>
          </cell>
          <cell r="D29" t="str">
            <v>Triangular</v>
          </cell>
          <cell r="E29">
            <v>3</v>
          </cell>
          <cell r="F29" t="str">
            <v>Mid</v>
          </cell>
          <cell r="G29">
            <v>0.33270472629466419</v>
          </cell>
          <cell r="H29">
            <v>0.65894082533204723</v>
          </cell>
          <cell r="I29">
            <v>16777215</v>
          </cell>
        </row>
        <row r="30">
          <cell r="A30" t="str">
            <v>1.9%</v>
          </cell>
          <cell r="B30">
            <v>1.9122083055034468E-2</v>
          </cell>
          <cell r="C30">
            <v>255</v>
          </cell>
          <cell r="D30" t="str">
            <v>Triangular</v>
          </cell>
          <cell r="E30">
            <v>3</v>
          </cell>
          <cell r="F30" t="str">
            <v>Top</v>
          </cell>
          <cell r="G30">
            <v>0.65894082533204723</v>
          </cell>
          <cell r="H30">
            <v>0.91517491286828034</v>
          </cell>
          <cell r="I30">
            <v>13395456</v>
          </cell>
        </row>
        <row r="31">
          <cell r="A31" t="str">
            <v>6.9</v>
          </cell>
          <cell r="B31">
            <v>6.9055873703761019</v>
          </cell>
          <cell r="C31">
            <v>6684672</v>
          </cell>
          <cell r="D31" t="str">
            <v>Triangular</v>
          </cell>
          <cell r="E31">
            <v>3</v>
          </cell>
          <cell r="F31" t="str">
            <v>First</v>
          </cell>
          <cell r="G31">
            <v>3.9078505711936384</v>
          </cell>
          <cell r="H31">
            <v>5.7209377795242116</v>
          </cell>
          <cell r="I31">
            <v>13395456</v>
          </cell>
        </row>
        <row r="32">
          <cell r="A32" t="str">
            <v>7.1</v>
          </cell>
          <cell r="B32">
            <v>7.1179153651072777</v>
          </cell>
          <cell r="C32">
            <v>255</v>
          </cell>
          <cell r="D32" t="str">
            <v>Triangular</v>
          </cell>
          <cell r="E32">
            <v>3</v>
          </cell>
          <cell r="F32" t="str">
            <v>Mid</v>
          </cell>
          <cell r="G32">
            <v>5.7209377795242116</v>
          </cell>
          <cell r="H32">
            <v>9.6949895120867353</v>
          </cell>
          <cell r="I32">
            <v>16777215</v>
          </cell>
        </row>
        <row r="33">
          <cell r="A33" t="str">
            <v>$4.85</v>
          </cell>
          <cell r="B33">
            <v>4.8450982809243124</v>
          </cell>
          <cell r="C33">
            <v>6684672</v>
          </cell>
          <cell r="D33" t="str">
            <v>Triangular</v>
          </cell>
          <cell r="E33">
            <v>3</v>
          </cell>
          <cell r="F33" t="str">
            <v>Top</v>
          </cell>
          <cell r="G33">
            <v>9.6949895120867353</v>
          </cell>
          <cell r="H33">
            <v>16.066295963664466</v>
          </cell>
          <cell r="I33">
            <v>13395456</v>
          </cell>
        </row>
        <row r="34">
          <cell r="A34" t="str">
            <v>$5.11</v>
          </cell>
          <cell r="B34">
            <v>5.1109200590454114</v>
          </cell>
          <cell r="C34">
            <v>255</v>
          </cell>
          <cell r="D34" t="str">
            <v>Triangular</v>
          </cell>
          <cell r="E34">
            <v>3</v>
          </cell>
          <cell r="F34" t="str">
            <v>First</v>
          </cell>
          <cell r="G34">
            <v>5.67</v>
          </cell>
          <cell r="H34">
            <v>13.495000000000001</v>
          </cell>
          <cell r="I34">
            <v>13395456</v>
          </cell>
        </row>
        <row r="35">
          <cell r="A35" t="str">
            <v>00:09</v>
          </cell>
          <cell r="B35">
            <v>1.0358729680259381E-4</v>
          </cell>
          <cell r="C35">
            <v>6684672</v>
          </cell>
          <cell r="D35" t="str">
            <v>Triangular</v>
          </cell>
          <cell r="E35">
            <v>3</v>
          </cell>
          <cell r="F35" t="str">
            <v>Mid</v>
          </cell>
          <cell r="G35">
            <v>13.495000000000001</v>
          </cell>
          <cell r="H35">
            <v>31.270000000000003</v>
          </cell>
          <cell r="I35">
            <v>16777215</v>
          </cell>
        </row>
        <row r="36">
          <cell r="A36" t="str">
            <v>00:04</v>
          </cell>
          <cell r="B36">
            <v>4.4276105114126924E-5</v>
          </cell>
          <cell r="C36">
            <v>255</v>
          </cell>
          <cell r="D36" t="str">
            <v>Triangular</v>
          </cell>
          <cell r="E36">
            <v>3</v>
          </cell>
          <cell r="F36" t="str">
            <v>Top</v>
          </cell>
          <cell r="G36">
            <v>31.270000000000003</v>
          </cell>
          <cell r="H36">
            <v>65.180000000000007</v>
          </cell>
          <cell r="I36">
            <v>13395456</v>
          </cell>
        </row>
        <row r="37">
          <cell r="A37" t="str">
            <v>00:32</v>
          </cell>
          <cell r="B37">
            <v>3.6735104669887288E-4</v>
          </cell>
          <cell r="C37">
            <v>6684672</v>
          </cell>
          <cell r="D37" t="str">
            <v>Triangular</v>
          </cell>
          <cell r="E37">
            <v>3</v>
          </cell>
          <cell r="F37" t="str">
            <v>First</v>
          </cell>
          <cell r="G37">
            <v>-0.12902915331235143</v>
          </cell>
          <cell r="H37">
            <v>-7.2579599169156461E-2</v>
          </cell>
          <cell r="I37">
            <v>13395456</v>
          </cell>
        </row>
        <row r="38">
          <cell r="A38" t="str">
            <v>00:32</v>
          </cell>
          <cell r="B38">
            <v>3.7074854570621617E-4</v>
          </cell>
          <cell r="C38">
            <v>255</v>
          </cell>
          <cell r="D38" t="str">
            <v>Triangular</v>
          </cell>
          <cell r="E38">
            <v>3</v>
          </cell>
          <cell r="F38" t="str">
            <v>Mid</v>
          </cell>
          <cell r="G38">
            <v>-7.2579599169156461E-2</v>
          </cell>
          <cell r="H38">
            <v>4.247362813924771E-2</v>
          </cell>
          <cell r="I38">
            <v>16777215</v>
          </cell>
        </row>
        <row r="39">
          <cell r="A39" t="str">
            <v>00:20</v>
          </cell>
          <cell r="B39">
            <v>2.3148148148148154E-4</v>
          </cell>
          <cell r="C39">
            <v>6684672</v>
          </cell>
          <cell r="D39" t="str">
            <v>Triangular</v>
          </cell>
          <cell r="E39">
            <v>3</v>
          </cell>
          <cell r="F39" t="str">
            <v>Top</v>
          </cell>
          <cell r="G39">
            <v>4.247362813924771E-2</v>
          </cell>
          <cell r="H39">
            <v>0.4728480087365472</v>
          </cell>
          <cell r="I39">
            <v>13395456</v>
          </cell>
        </row>
        <row r="40">
          <cell r="A40" t="str">
            <v>00:08</v>
          </cell>
          <cell r="B40">
            <v>9.2282943637480081E-5</v>
          </cell>
          <cell r="C40">
            <v>255</v>
          </cell>
          <cell r="D40" t="str">
            <v>Triangular</v>
          </cell>
          <cell r="E40">
            <v>3</v>
          </cell>
          <cell r="F40" t="str">
            <v>First</v>
          </cell>
          <cell r="G40">
            <v>-0.13482176185143713</v>
          </cell>
          <cell r="H40">
            <v>-3.7063795968499402E-2</v>
          </cell>
          <cell r="I40">
            <v>13395456</v>
          </cell>
        </row>
        <row r="41">
          <cell r="A41" t="str">
            <v>2.1</v>
          </cell>
          <cell r="B41">
            <v>2.125570559039224</v>
          </cell>
          <cell r="C41">
            <v>6684672</v>
          </cell>
          <cell r="D41" t="str">
            <v>Triangular</v>
          </cell>
          <cell r="E41">
            <v>3</v>
          </cell>
          <cell r="F41" t="str">
            <v>Mid</v>
          </cell>
          <cell r="G41">
            <v>-3.7063795968499402E-2</v>
          </cell>
          <cell r="H41">
            <v>5.4233350294256022E-2</v>
          </cell>
          <cell r="I41">
            <v>16777215</v>
          </cell>
        </row>
        <row r="42">
          <cell r="A42" t="str">
            <v>1.9</v>
          </cell>
          <cell r="B42">
            <v>1.8898542010845309</v>
          </cell>
          <cell r="C42">
            <v>255</v>
          </cell>
          <cell r="D42" t="str">
            <v>Triangular</v>
          </cell>
          <cell r="E42">
            <v>3</v>
          </cell>
          <cell r="F42" t="str">
            <v>Top</v>
          </cell>
          <cell r="G42">
            <v>5.4233350294256022E-2</v>
          </cell>
          <cell r="H42">
            <v>1.1631730229949522</v>
          </cell>
          <cell r="I42">
            <v>13395456</v>
          </cell>
        </row>
        <row r="43">
          <cell r="A43" t="str">
            <v>$12.34</v>
          </cell>
          <cell r="B43">
            <v>12.337768266249622</v>
          </cell>
          <cell r="C43">
            <v>6684672</v>
          </cell>
          <cell r="D43" t="str">
            <v>Triangular</v>
          </cell>
          <cell r="E43">
            <v>3</v>
          </cell>
          <cell r="F43" t="str">
            <v>First</v>
          </cell>
          <cell r="G43">
            <v>3.1499038461538462</v>
          </cell>
          <cell r="H43">
            <v>5.2208895813605229</v>
          </cell>
          <cell r="I43">
            <v>13395456</v>
          </cell>
        </row>
        <row r="44">
          <cell r="A44" t="str">
            <v>$12.14</v>
          </cell>
          <cell r="B44">
            <v>12.143003117210638</v>
          </cell>
          <cell r="C44">
            <v>255</v>
          </cell>
          <cell r="D44" t="str">
            <v>Triangular</v>
          </cell>
          <cell r="E44">
            <v>3</v>
          </cell>
          <cell r="F44" t="str">
            <v>Mid</v>
          </cell>
          <cell r="G44">
            <v>5.2208895813605229</v>
          </cell>
          <cell r="H44">
            <v>8.846016010354246</v>
          </cell>
          <cell r="I44">
            <v>16777215</v>
          </cell>
        </row>
        <row r="45">
          <cell r="A45" t="str">
            <v>1730</v>
          </cell>
          <cell r="B45">
            <v>1730.1449571020107</v>
          </cell>
          <cell r="C45">
            <v>6684672</v>
          </cell>
          <cell r="D45" t="str">
            <v>Triangular</v>
          </cell>
          <cell r="E45">
            <v>3</v>
          </cell>
          <cell r="F45" t="str">
            <v>Top</v>
          </cell>
          <cell r="G45">
            <v>8.846016010354246</v>
          </cell>
          <cell r="H45">
            <v>12.950159308147473</v>
          </cell>
          <cell r="I45">
            <v>13395456</v>
          </cell>
        </row>
        <row r="46">
          <cell r="A46" t="str">
            <v>231</v>
          </cell>
          <cell r="B46">
            <v>230.6378996709652</v>
          </cell>
          <cell r="C46">
            <v>255</v>
          </cell>
          <cell r="D46" t="str">
            <v>Triangular</v>
          </cell>
          <cell r="E46">
            <v>3</v>
          </cell>
          <cell r="F46" t="str">
            <v>First</v>
          </cell>
          <cell r="G46">
            <v>2.83</v>
          </cell>
          <cell r="H46">
            <v>3.86</v>
          </cell>
          <cell r="I46">
            <v>13395456</v>
          </cell>
        </row>
        <row r="47">
          <cell r="F47" t="str">
            <v>Mid</v>
          </cell>
          <cell r="G47">
            <v>3.86</v>
          </cell>
          <cell r="H47">
            <v>6.29</v>
          </cell>
          <cell r="I47">
            <v>16777215</v>
          </cell>
        </row>
        <row r="48">
          <cell r="F48" t="str">
            <v>Top</v>
          </cell>
          <cell r="G48">
            <v>6.29</v>
          </cell>
          <cell r="H48">
            <v>10.74</v>
          </cell>
          <cell r="I48">
            <v>13395456</v>
          </cell>
        </row>
        <row r="49">
          <cell r="A49" t="str">
            <v>04:52</v>
          </cell>
          <cell r="B49">
            <v>3.3815065065065067E-3</v>
          </cell>
          <cell r="C49">
            <v>6684672</v>
          </cell>
          <cell r="D49" t="str">
            <v>Triangular</v>
          </cell>
          <cell r="E49">
            <v>3</v>
          </cell>
          <cell r="F49" t="str">
            <v>First</v>
          </cell>
          <cell r="G49">
            <v>0</v>
          </cell>
          <cell r="H49">
            <v>4.7545009884124133E-6</v>
          </cell>
          <cell r="I49">
            <v>13395456</v>
          </cell>
        </row>
        <row r="50">
          <cell r="A50" t="str">
            <v>04:07</v>
          </cell>
          <cell r="B50">
            <v>2.8635041436421002E-3</v>
          </cell>
          <cell r="C50">
            <v>255</v>
          </cell>
          <cell r="D50" t="str">
            <v>Triangular</v>
          </cell>
          <cell r="E50">
            <v>3</v>
          </cell>
          <cell r="F50" t="str">
            <v>Mid</v>
          </cell>
          <cell r="G50">
            <v>4.7545009884124133E-6</v>
          </cell>
          <cell r="H50">
            <v>7.226927180208718E-5</v>
          </cell>
          <cell r="I50">
            <v>16777215</v>
          </cell>
        </row>
        <row r="51">
          <cell r="A51" t="str">
            <v>00:00</v>
          </cell>
          <cell r="B51">
            <v>0</v>
          </cell>
          <cell r="C51">
            <v>6684672</v>
          </cell>
          <cell r="D51" t="str">
            <v>Triangular</v>
          </cell>
          <cell r="E51">
            <v>3</v>
          </cell>
          <cell r="F51" t="str">
            <v>Top</v>
          </cell>
          <cell r="G51">
            <v>7.226927180208718E-5</v>
          </cell>
          <cell r="H51">
            <v>3.4994906861580662E-4</v>
          </cell>
          <cell r="I51">
            <v>13395456</v>
          </cell>
        </row>
        <row r="52">
          <cell r="A52" t="str">
            <v>00:17</v>
          </cell>
          <cell r="B52">
            <v>1.9332477669905602E-4</v>
          </cell>
          <cell r="C52">
            <v>255</v>
          </cell>
          <cell r="D52" t="str">
            <v>Triangular</v>
          </cell>
          <cell r="E52">
            <v>3</v>
          </cell>
          <cell r="F52" t="str">
            <v>First</v>
          </cell>
          <cell r="G52">
            <v>5.7870370370370367E-6</v>
          </cell>
          <cell r="H52">
            <v>1.4073021885521885E-4</v>
          </cell>
          <cell r="I52">
            <v>13395456</v>
          </cell>
        </row>
        <row r="53">
          <cell r="A53" t="str">
            <v>00:00</v>
          </cell>
          <cell r="B53">
            <v>0</v>
          </cell>
          <cell r="C53">
            <v>6684672</v>
          </cell>
          <cell r="D53" t="str">
            <v>Triangular</v>
          </cell>
          <cell r="E53">
            <v>3</v>
          </cell>
          <cell r="F53" t="str">
            <v>Mid</v>
          </cell>
          <cell r="G53">
            <v>1.4073021885521885E-4</v>
          </cell>
          <cell r="H53">
            <v>5.8577674897119353E-4</v>
          </cell>
          <cell r="I53">
            <v>16777215</v>
          </cell>
        </row>
        <row r="54">
          <cell r="A54" t="str">
            <v>00:11</v>
          </cell>
          <cell r="B54">
            <v>1.304612670612736E-4</v>
          </cell>
          <cell r="C54">
            <v>255</v>
          </cell>
          <cell r="D54" t="str">
            <v>Triangular</v>
          </cell>
          <cell r="E54">
            <v>3</v>
          </cell>
          <cell r="F54" t="str">
            <v>Top</v>
          </cell>
          <cell r="G54">
            <v>5.8577674897119353E-4</v>
          </cell>
          <cell r="H54">
            <v>1.2297453703703702E-3</v>
          </cell>
          <cell r="I54">
            <v>13395456</v>
          </cell>
        </row>
        <row r="55">
          <cell r="A55" t="str">
            <v>0%</v>
          </cell>
          <cell r="B55">
            <v>0</v>
          </cell>
          <cell r="C55">
            <v>6684672</v>
          </cell>
          <cell r="D55" t="str">
            <v>Triangular</v>
          </cell>
          <cell r="E55">
            <v>3</v>
          </cell>
          <cell r="F55" t="str">
            <v>First</v>
          </cell>
          <cell r="G55">
            <v>0</v>
          </cell>
          <cell r="H55">
            <v>1.8126636604709549E-5</v>
          </cell>
          <cell r="I55">
            <v>13395456</v>
          </cell>
        </row>
        <row r="56">
          <cell r="A56" t="str">
            <v>66%</v>
          </cell>
          <cell r="B56">
            <v>0.65873015873015872</v>
          </cell>
          <cell r="C56">
            <v>255</v>
          </cell>
          <cell r="D56" t="str">
            <v>Triangular</v>
          </cell>
          <cell r="E56">
            <v>3</v>
          </cell>
          <cell r="F56" t="str">
            <v>Mid</v>
          </cell>
          <cell r="G56">
            <v>1.8126636604709549E-5</v>
          </cell>
          <cell r="H56">
            <v>1.5495926379811183E-4</v>
          </cell>
          <cell r="I56">
            <v>16777215</v>
          </cell>
        </row>
        <row r="57">
          <cell r="A57" t="str">
            <v>0.0</v>
          </cell>
          <cell r="B57">
            <v>0</v>
          </cell>
          <cell r="C57">
            <v>6684672</v>
          </cell>
          <cell r="D57" t="str">
            <v>Triangular</v>
          </cell>
          <cell r="E57">
            <v>3</v>
          </cell>
          <cell r="F57" t="str">
            <v>Top</v>
          </cell>
          <cell r="G57">
            <v>1.5495926379811183E-4</v>
          </cell>
          <cell r="H57">
            <v>8.2353988603988608E-4</v>
          </cell>
          <cell r="I57">
            <v>13395456</v>
          </cell>
        </row>
        <row r="58">
          <cell r="A58" t="str">
            <v>278.3</v>
          </cell>
          <cell r="B58">
            <v>278.33333333333337</v>
          </cell>
          <cell r="C58">
            <v>255</v>
          </cell>
          <cell r="D58" t="str">
            <v>Triangular</v>
          </cell>
          <cell r="E58">
            <v>3</v>
          </cell>
          <cell r="F58" t="str">
            <v>First</v>
          </cell>
          <cell r="G58">
            <v>0.47931063077008124</v>
          </cell>
          <cell r="H58">
            <v>1.1643981311914247</v>
          </cell>
          <cell r="I58">
            <v>13395456</v>
          </cell>
        </row>
        <row r="59">
          <cell r="A59" t="str">
            <v>0.0</v>
          </cell>
          <cell r="B59">
            <v>0</v>
          </cell>
          <cell r="C59">
            <v>6684672</v>
          </cell>
          <cell r="D59" t="str">
            <v>Triangular</v>
          </cell>
          <cell r="E59">
            <v>3</v>
          </cell>
          <cell r="F59" t="str">
            <v>Mid</v>
          </cell>
          <cell r="G59">
            <v>1.1643981311914247</v>
          </cell>
          <cell r="H59">
            <v>2.5885223609816106</v>
          </cell>
          <cell r="I59">
            <v>16777215</v>
          </cell>
        </row>
        <row r="60">
          <cell r="A60" t="str">
            <v>278.3</v>
          </cell>
          <cell r="B60">
            <v>278.33333333333337</v>
          </cell>
          <cell r="C60">
            <v>255</v>
          </cell>
          <cell r="D60" t="str">
            <v>Triangular</v>
          </cell>
          <cell r="E60">
            <v>3</v>
          </cell>
          <cell r="F60" t="str">
            <v>Top</v>
          </cell>
          <cell r="G60">
            <v>2.5885223609816106</v>
          </cell>
          <cell r="H60">
            <v>4.9746357493074314</v>
          </cell>
          <cell r="I60">
            <v>13395456</v>
          </cell>
        </row>
        <row r="61">
          <cell r="A61" t="str">
            <v>29.1</v>
          </cell>
          <cell r="B61" t="str">
            <v>29.1</v>
          </cell>
          <cell r="C61">
            <v>6684672</v>
          </cell>
          <cell r="D61" t="str">
            <v>Triangular</v>
          </cell>
          <cell r="E61">
            <v>3</v>
          </cell>
          <cell r="F61" t="str">
            <v>First</v>
          </cell>
          <cell r="G61">
            <v>5.69</v>
          </cell>
          <cell r="H61">
            <v>10.484999999999999</v>
          </cell>
          <cell r="I61">
            <v>13395456</v>
          </cell>
        </row>
        <row r="62">
          <cell r="A62" t="str">
            <v>32.0</v>
          </cell>
          <cell r="B62" t="str">
            <v>32.0</v>
          </cell>
          <cell r="C62">
            <v>255</v>
          </cell>
          <cell r="D62" t="str">
            <v>Triangular</v>
          </cell>
          <cell r="E62">
            <v>3</v>
          </cell>
          <cell r="F62" t="str">
            <v>Mid</v>
          </cell>
          <cell r="G62">
            <v>10.484999999999999</v>
          </cell>
          <cell r="H62">
            <v>13.79</v>
          </cell>
          <cell r="I62">
            <v>16777215</v>
          </cell>
        </row>
        <row r="63">
          <cell r="A63" t="str">
            <v>156.5</v>
          </cell>
          <cell r="B63">
            <v>156.52173913043478</v>
          </cell>
          <cell r="C63">
            <v>6684672</v>
          </cell>
          <cell r="D63" t="str">
            <v>Triangular</v>
          </cell>
          <cell r="E63">
            <v>3</v>
          </cell>
          <cell r="F63" t="str">
            <v>Top</v>
          </cell>
          <cell r="G63">
            <v>13.79</v>
          </cell>
          <cell r="H63">
            <v>25.03</v>
          </cell>
          <cell r="I63">
            <v>13395456</v>
          </cell>
        </row>
        <row r="64">
          <cell r="A64" t="str">
            <v>119.9</v>
          </cell>
          <cell r="B64">
            <v>119.9333997229823</v>
          </cell>
          <cell r="C64">
            <v>255</v>
          </cell>
          <cell r="D64" t="str">
            <v>Triangular</v>
          </cell>
          <cell r="E64">
            <v>3</v>
          </cell>
          <cell r="F64" t="str">
            <v>First</v>
          </cell>
          <cell r="G64">
            <v>0</v>
          </cell>
          <cell r="H64">
            <v>109.32937150064046</v>
          </cell>
          <cell r="I64">
            <v>13395456</v>
          </cell>
        </row>
        <row r="65">
          <cell r="F65" t="str">
            <v>Mid</v>
          </cell>
          <cell r="G65">
            <v>109.32937150064046</v>
          </cell>
          <cell r="H65">
            <v>312.92805633664977</v>
          </cell>
          <cell r="I65">
            <v>16777215</v>
          </cell>
        </row>
        <row r="66">
          <cell r="F66" t="str">
            <v>Top</v>
          </cell>
          <cell r="G66">
            <v>312.92805633664977</v>
          </cell>
          <cell r="H66">
            <v>1730.1449571020107</v>
          </cell>
          <cell r="I66">
            <v>13395456</v>
          </cell>
        </row>
        <row r="67">
          <cell r="F67" t="str">
            <v>First</v>
          </cell>
          <cell r="G67">
            <v>8.5005144032921807E-4</v>
          </cell>
          <cell r="H67">
            <v>1.7749598043240284E-3</v>
          </cell>
          <cell r="I67">
            <v>13395456</v>
          </cell>
        </row>
        <row r="68">
          <cell r="F68" t="str">
            <v>Mid</v>
          </cell>
          <cell r="G68">
            <v>1.7749598043240284E-3</v>
          </cell>
          <cell r="H68">
            <v>3.72300145171522E-3</v>
          </cell>
          <cell r="I68">
            <v>16777215</v>
          </cell>
        </row>
        <row r="69">
          <cell r="F69" t="str">
            <v>Top</v>
          </cell>
          <cell r="G69">
            <v>3.72300145171522E-3</v>
          </cell>
          <cell r="H69">
            <v>7.5309886499402628E-3</v>
          </cell>
          <cell r="I69">
            <v>13395456</v>
          </cell>
        </row>
        <row r="70">
          <cell r="F70" t="str">
            <v>First</v>
          </cell>
          <cell r="G70">
            <v>0</v>
          </cell>
          <cell r="H70">
            <v>0</v>
          </cell>
          <cell r="I70">
            <v>13395456</v>
          </cell>
        </row>
        <row r="71">
          <cell r="F71" t="str">
            <v>Mid</v>
          </cell>
          <cell r="G71">
            <v>0</v>
          </cell>
          <cell r="H71">
            <v>2.6716301038234999E-4</v>
          </cell>
          <cell r="I71">
            <v>16777215</v>
          </cell>
        </row>
        <row r="72">
          <cell r="F72" t="str">
            <v>Top</v>
          </cell>
          <cell r="G72">
            <v>2.6716301038234999E-4</v>
          </cell>
          <cell r="H72">
            <v>2.6716301038234999E-4</v>
          </cell>
          <cell r="I72">
            <v>13395456</v>
          </cell>
        </row>
        <row r="73">
          <cell r="F73" t="str">
            <v>First</v>
          </cell>
          <cell r="G73">
            <v>0</v>
          </cell>
          <cell r="H73">
            <v>0</v>
          </cell>
          <cell r="I73">
            <v>13395456</v>
          </cell>
        </row>
        <row r="74">
          <cell r="F74" t="str">
            <v>Mid</v>
          </cell>
          <cell r="G74">
            <v>0</v>
          </cell>
          <cell r="H74">
            <v>2.0551000798642308E-4</v>
          </cell>
          <cell r="I74">
            <v>16777215</v>
          </cell>
        </row>
        <row r="75">
          <cell r="F75" t="str">
            <v>Top</v>
          </cell>
          <cell r="G75">
            <v>2.0551000798642308E-4</v>
          </cell>
          <cell r="H75">
            <v>2.0551000798642308E-4</v>
          </cell>
          <cell r="I75">
            <v>13395456</v>
          </cell>
        </row>
        <row r="76">
          <cell r="F76" t="str">
            <v>First</v>
          </cell>
          <cell r="G76">
            <v>0</v>
          </cell>
          <cell r="H76">
            <v>0</v>
          </cell>
          <cell r="I76">
            <v>13395456</v>
          </cell>
        </row>
        <row r="77">
          <cell r="F77" t="str">
            <v>Mid</v>
          </cell>
          <cell r="G77">
            <v>0</v>
          </cell>
          <cell r="H77">
            <v>0.88888888888888884</v>
          </cell>
          <cell r="I77">
            <v>16777215</v>
          </cell>
        </row>
        <row r="78">
          <cell r="F78" t="str">
            <v>Top</v>
          </cell>
          <cell r="G78">
            <v>0.88888888888888884</v>
          </cell>
          <cell r="H78">
            <v>0.88888888888888884</v>
          </cell>
          <cell r="I78">
            <v>13395456</v>
          </cell>
        </row>
        <row r="79">
          <cell r="F79" t="str">
            <v>First</v>
          </cell>
          <cell r="G79">
            <v>200</v>
          </cell>
          <cell r="H79">
            <v>200</v>
          </cell>
          <cell r="I79">
            <v>13395456</v>
          </cell>
        </row>
        <row r="80">
          <cell r="F80" t="str">
            <v>Mid</v>
          </cell>
          <cell r="G80">
            <v>200</v>
          </cell>
          <cell r="H80">
            <v>316.66666666666669</v>
          </cell>
          <cell r="I80">
            <v>16777215</v>
          </cell>
        </row>
        <row r="81">
          <cell r="F81" t="str">
            <v>Top</v>
          </cell>
          <cell r="G81">
            <v>316.66666666666669</v>
          </cell>
          <cell r="H81">
            <v>316.66666666666669</v>
          </cell>
          <cell r="I81">
            <v>13395456</v>
          </cell>
        </row>
        <row r="82">
          <cell r="F82" t="str">
            <v>First</v>
          </cell>
          <cell r="G82">
            <v>200</v>
          </cell>
          <cell r="H82">
            <v>200</v>
          </cell>
          <cell r="I82">
            <v>13395456</v>
          </cell>
        </row>
        <row r="83">
          <cell r="F83" t="str">
            <v>Mid</v>
          </cell>
          <cell r="G83">
            <v>200</v>
          </cell>
          <cell r="H83">
            <v>316.66666666666669</v>
          </cell>
          <cell r="I83">
            <v>16777215</v>
          </cell>
        </row>
        <row r="84">
          <cell r="F84" t="str">
            <v>Top</v>
          </cell>
          <cell r="G84">
            <v>316.66666666666669</v>
          </cell>
          <cell r="H84">
            <v>316.66666666666669</v>
          </cell>
          <cell r="I84">
            <v>13395456</v>
          </cell>
        </row>
        <row r="85">
          <cell r="F85" t="str">
            <v>First</v>
          </cell>
          <cell r="G85">
            <v>2.6315789473684212</v>
          </cell>
          <cell r="H85">
            <v>18.090909090909093</v>
          </cell>
          <cell r="I85">
            <v>13395456</v>
          </cell>
        </row>
        <row r="86">
          <cell r="F86" t="str">
            <v>Mid</v>
          </cell>
          <cell r="G86">
            <v>18.090909090909093</v>
          </cell>
          <cell r="H86">
            <v>43.932103715584063</v>
          </cell>
          <cell r="I86">
            <v>16777215</v>
          </cell>
        </row>
        <row r="87">
          <cell r="F87" t="str">
            <v>Top</v>
          </cell>
          <cell r="G87">
            <v>43.932103715584063</v>
          </cell>
          <cell r="H87">
            <v>104.16666666666667</v>
          </cell>
          <cell r="I87">
            <v>13395456</v>
          </cell>
        </row>
        <row r="88">
          <cell r="F88" t="str">
            <v>First</v>
          </cell>
          <cell r="G88">
            <v>83.333333333333343</v>
          </cell>
          <cell r="H88">
            <v>105.26315789473685</v>
          </cell>
          <cell r="I88">
            <v>13395456</v>
          </cell>
        </row>
        <row r="89">
          <cell r="F89" t="str">
            <v>Mid</v>
          </cell>
          <cell r="G89">
            <v>105.26315789473685</v>
          </cell>
          <cell r="H89">
            <v>134.16666666666669</v>
          </cell>
          <cell r="I89">
            <v>16777215</v>
          </cell>
        </row>
        <row r="90">
          <cell r="F90" t="str">
            <v>Top</v>
          </cell>
          <cell r="G90">
            <v>134.16666666666669</v>
          </cell>
          <cell r="H90">
            <v>190</v>
          </cell>
          <cell r="I90">
            <v>13395456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pageSetUpPr fitToPage="1"/>
  </sheetPr>
  <dimension ref="A7:O72"/>
  <sheetViews>
    <sheetView showGridLines="0" showRowColHeaders="0" tabSelected="1" workbookViewId="0">
      <selection activeCell="L8" sqref="L8"/>
    </sheetView>
  </sheetViews>
  <sheetFormatPr defaultColWidth="9" defaultRowHeight="11.25" x14ac:dyDescent="0.2"/>
  <cols>
    <col min="1" max="16384" width="9" style="1"/>
  </cols>
  <sheetData>
    <row r="7" spans="1:15" x14ac:dyDescent="0.2">
      <c r="A7" s="42"/>
    </row>
    <row r="8" spans="1:15" x14ac:dyDescent="0.2">
      <c r="A8" s="42" t="s">
        <v>0</v>
      </c>
    </row>
    <row r="15" spans="1:15" ht="12" x14ac:dyDescent="0.2">
      <c r="B15" s="40" t="s">
        <v>1</v>
      </c>
      <c r="C15" s="40"/>
      <c r="D15" s="40"/>
      <c r="E15" s="40"/>
      <c r="F15" s="40"/>
      <c r="G15" s="40"/>
      <c r="H15" s="40"/>
      <c r="I15" s="40"/>
      <c r="J15" s="40"/>
      <c r="K15" s="40"/>
      <c r="L15" s="40"/>
      <c r="M15" s="40"/>
      <c r="N15" s="40"/>
      <c r="O15" s="40"/>
    </row>
    <row r="16" spans="1:15" ht="12" x14ac:dyDescent="0.2">
      <c r="B16" s="40" t="s">
        <v>2</v>
      </c>
      <c r="C16" s="40"/>
      <c r="D16" s="40"/>
      <c r="E16" s="40"/>
      <c r="F16" s="40"/>
      <c r="G16" s="40"/>
      <c r="H16" s="40"/>
      <c r="I16" s="40"/>
      <c r="J16" s="40"/>
      <c r="K16" s="40"/>
      <c r="L16" s="40"/>
      <c r="M16" s="40"/>
      <c r="N16" s="40"/>
      <c r="O16" s="40"/>
    </row>
    <row r="17" spans="2:15" ht="12" x14ac:dyDescent="0.2">
      <c r="B17" s="41">
        <v>1</v>
      </c>
      <c r="C17" s="40" t="s">
        <v>3</v>
      </c>
      <c r="D17" s="40"/>
      <c r="E17" s="40"/>
      <c r="F17" s="40"/>
      <c r="G17" s="40"/>
      <c r="H17" s="40"/>
      <c r="I17" s="40"/>
      <c r="J17" s="40"/>
      <c r="K17" s="40"/>
      <c r="L17" s="40"/>
      <c r="M17" s="40"/>
      <c r="N17" s="40"/>
      <c r="O17" s="40"/>
    </row>
    <row r="18" spans="2:15" ht="12" x14ac:dyDescent="0.2">
      <c r="B18" s="41">
        <v>2</v>
      </c>
      <c r="C18" s="40" t="s">
        <v>4</v>
      </c>
      <c r="D18" s="40"/>
      <c r="E18" s="40"/>
      <c r="F18" s="40"/>
      <c r="G18" s="40"/>
      <c r="H18" s="40"/>
      <c r="I18" s="40"/>
      <c r="J18" s="40"/>
      <c r="K18" s="40"/>
      <c r="L18" s="40"/>
      <c r="M18" s="40"/>
      <c r="N18" s="40"/>
      <c r="O18" s="40"/>
    </row>
    <row r="19" spans="2:15" ht="12" x14ac:dyDescent="0.2">
      <c r="B19" s="41">
        <v>3</v>
      </c>
      <c r="C19" s="40" t="s">
        <v>5</v>
      </c>
      <c r="D19" s="40"/>
      <c r="E19" s="40"/>
      <c r="F19" s="40"/>
      <c r="G19" s="40"/>
      <c r="H19" s="40"/>
      <c r="I19" s="40"/>
      <c r="J19" s="40"/>
      <c r="K19" s="40"/>
      <c r="L19" s="40"/>
      <c r="M19" s="40"/>
      <c r="N19" s="40"/>
      <c r="O19" s="40"/>
    </row>
    <row r="20" spans="2:15" ht="12" x14ac:dyDescent="0.2">
      <c r="B20" s="41">
        <v>4</v>
      </c>
      <c r="C20" s="40" t="s">
        <v>185</v>
      </c>
      <c r="D20" s="40"/>
      <c r="E20" s="40"/>
      <c r="F20" s="40"/>
      <c r="G20" s="40"/>
      <c r="H20" s="40"/>
      <c r="I20" s="40"/>
      <c r="J20" s="40"/>
      <c r="K20" s="40"/>
      <c r="L20" s="40"/>
      <c r="M20" s="40"/>
      <c r="N20" s="40"/>
      <c r="O20" s="40"/>
    </row>
    <row r="21" spans="2:15" ht="12" x14ac:dyDescent="0.2">
      <c r="B21" s="41">
        <v>5</v>
      </c>
      <c r="C21" s="40" t="s">
        <v>6</v>
      </c>
      <c r="D21" s="40"/>
      <c r="E21" s="40"/>
      <c r="F21" s="40"/>
      <c r="G21" s="40"/>
      <c r="H21" s="40"/>
      <c r="I21" s="40"/>
      <c r="J21" s="40"/>
      <c r="K21" s="40"/>
      <c r="L21" s="40"/>
      <c r="M21" s="40"/>
      <c r="N21" s="40"/>
      <c r="O21" s="40"/>
    </row>
    <row r="22" spans="2:15" ht="12" x14ac:dyDescent="0.2">
      <c r="B22" s="41">
        <v>6</v>
      </c>
      <c r="C22" s="40" t="s">
        <v>7</v>
      </c>
      <c r="D22" s="40"/>
      <c r="E22" s="40"/>
      <c r="F22" s="40"/>
      <c r="G22" s="40"/>
      <c r="H22" s="40"/>
      <c r="I22" s="40"/>
      <c r="J22" s="40"/>
      <c r="K22" s="40"/>
      <c r="L22" s="40"/>
      <c r="M22" s="40"/>
      <c r="N22" s="40"/>
      <c r="O22" s="40"/>
    </row>
    <row r="23" spans="2:15" ht="12" x14ac:dyDescent="0.2">
      <c r="B23" s="41" t="s">
        <v>8</v>
      </c>
      <c r="C23" s="40"/>
      <c r="D23" s="40"/>
      <c r="E23" s="40"/>
      <c r="F23" s="40"/>
      <c r="G23" s="40"/>
      <c r="H23" s="40"/>
      <c r="I23" s="40"/>
      <c r="J23" s="40"/>
      <c r="K23" s="40"/>
      <c r="L23" s="40"/>
      <c r="M23" s="40"/>
      <c r="N23" s="40"/>
      <c r="O23" s="40"/>
    </row>
    <row r="24" spans="2:15" ht="12" x14ac:dyDescent="0.2">
      <c r="B24" s="41" t="s">
        <v>9</v>
      </c>
      <c r="C24" s="40"/>
      <c r="D24" s="40"/>
      <c r="E24" s="40"/>
      <c r="F24" s="40"/>
      <c r="G24" s="40"/>
      <c r="H24" s="40"/>
      <c r="I24" s="40"/>
      <c r="J24" s="40"/>
      <c r="K24" s="40"/>
      <c r="L24" s="40"/>
      <c r="M24" s="40"/>
      <c r="N24" s="40"/>
      <c r="O24" s="40"/>
    </row>
    <row r="25" spans="2:15" ht="12" x14ac:dyDescent="0.2">
      <c r="B25" s="40" t="s">
        <v>10</v>
      </c>
      <c r="C25" s="40"/>
      <c r="D25" s="40"/>
      <c r="E25" s="40"/>
      <c r="F25" s="40"/>
      <c r="G25" s="40"/>
      <c r="H25" s="40"/>
      <c r="I25" s="40"/>
      <c r="J25" s="40"/>
      <c r="K25" s="40"/>
      <c r="L25" s="40"/>
      <c r="M25" s="40"/>
      <c r="N25" s="40"/>
      <c r="O25" s="40"/>
    </row>
    <row r="26" spans="2:15" ht="12" x14ac:dyDescent="0.2">
      <c r="B26" s="41">
        <v>1</v>
      </c>
      <c r="C26" s="40" t="s">
        <v>11</v>
      </c>
      <c r="D26" s="40"/>
      <c r="E26" s="40"/>
      <c r="F26" s="40"/>
      <c r="G26" s="40"/>
      <c r="H26" s="40"/>
      <c r="I26" s="40"/>
      <c r="J26" s="40"/>
      <c r="K26" s="40"/>
      <c r="L26" s="40"/>
      <c r="M26" s="40"/>
      <c r="N26" s="40"/>
      <c r="O26" s="40"/>
    </row>
    <row r="27" spans="2:15" ht="12" x14ac:dyDescent="0.2">
      <c r="B27" s="41">
        <v>2</v>
      </c>
      <c r="C27" s="40" t="s">
        <v>12</v>
      </c>
      <c r="D27" s="40"/>
      <c r="E27" s="40"/>
      <c r="F27" s="40"/>
      <c r="G27" s="40"/>
      <c r="H27" s="40"/>
      <c r="I27" s="40"/>
      <c r="J27" s="40"/>
      <c r="K27" s="40"/>
      <c r="L27" s="40"/>
      <c r="M27" s="40"/>
      <c r="N27" s="40"/>
      <c r="O27" s="40"/>
    </row>
    <row r="28" spans="2:15" ht="12" x14ac:dyDescent="0.2">
      <c r="B28" s="41">
        <v>3</v>
      </c>
      <c r="C28" s="40" t="s">
        <v>13</v>
      </c>
      <c r="D28" s="40"/>
      <c r="E28" s="40"/>
      <c r="F28" s="40"/>
      <c r="G28" s="40"/>
      <c r="H28" s="40"/>
      <c r="I28" s="40"/>
      <c r="J28" s="40"/>
      <c r="K28" s="40"/>
      <c r="L28" s="40"/>
      <c r="M28" s="40"/>
      <c r="N28" s="40"/>
      <c r="O28" s="40"/>
    </row>
    <row r="29" spans="2:15" ht="12" x14ac:dyDescent="0.2">
      <c r="B29" s="41">
        <v>4</v>
      </c>
      <c r="C29" s="40" t="s">
        <v>14</v>
      </c>
      <c r="D29" s="40"/>
      <c r="E29" s="40"/>
      <c r="F29" s="40"/>
      <c r="G29" s="40"/>
      <c r="H29" s="40"/>
      <c r="I29" s="40"/>
      <c r="J29" s="40"/>
      <c r="K29" s="40"/>
      <c r="L29" s="40"/>
      <c r="M29" s="40"/>
      <c r="N29" s="40"/>
      <c r="O29" s="40"/>
    </row>
    <row r="30" spans="2:15" ht="12" x14ac:dyDescent="0.2">
      <c r="B30" s="41"/>
      <c r="C30" s="40" t="s">
        <v>15</v>
      </c>
      <c r="D30" s="40"/>
      <c r="E30" s="40"/>
      <c r="F30" s="40"/>
      <c r="G30" s="40"/>
      <c r="H30" s="40"/>
      <c r="I30" s="40"/>
      <c r="J30" s="40"/>
      <c r="K30" s="40"/>
      <c r="L30" s="40"/>
      <c r="M30" s="40"/>
      <c r="N30" s="40"/>
      <c r="O30" s="40"/>
    </row>
    <row r="31" spans="2:15" ht="12" x14ac:dyDescent="0.2">
      <c r="B31" s="41">
        <v>5</v>
      </c>
      <c r="C31" s="40" t="s">
        <v>16</v>
      </c>
      <c r="D31" s="40"/>
      <c r="E31" s="40"/>
      <c r="F31" s="40"/>
      <c r="G31" s="40"/>
      <c r="H31" s="40"/>
      <c r="I31" s="40"/>
      <c r="J31" s="40"/>
      <c r="K31" s="40"/>
      <c r="L31" s="40"/>
      <c r="M31" s="40"/>
      <c r="N31" s="40"/>
      <c r="O31" s="40"/>
    </row>
    <row r="32" spans="2:15" ht="12" x14ac:dyDescent="0.2">
      <c r="B32" s="41"/>
      <c r="C32" s="40" t="s">
        <v>17</v>
      </c>
      <c r="D32" s="40"/>
      <c r="E32" s="40"/>
      <c r="F32" s="40"/>
      <c r="G32" s="40"/>
      <c r="H32" s="40"/>
      <c r="I32" s="40"/>
      <c r="J32" s="40"/>
      <c r="K32" s="40"/>
      <c r="L32" s="40"/>
      <c r="M32" s="40"/>
      <c r="N32" s="40"/>
      <c r="O32" s="40"/>
    </row>
    <row r="33" spans="2:15" ht="12" x14ac:dyDescent="0.2">
      <c r="B33" s="41">
        <v>6</v>
      </c>
      <c r="C33" s="40" t="s">
        <v>18</v>
      </c>
      <c r="D33" s="40"/>
      <c r="E33" s="40"/>
      <c r="F33" s="40"/>
      <c r="G33" s="40"/>
      <c r="H33" s="40"/>
      <c r="I33" s="40"/>
      <c r="J33" s="40"/>
      <c r="K33" s="40"/>
      <c r="L33" s="40"/>
      <c r="M33" s="40"/>
      <c r="N33" s="40"/>
      <c r="O33" s="40"/>
    </row>
    <row r="34" spans="2:15" ht="12" x14ac:dyDescent="0.2">
      <c r="B34" s="41"/>
      <c r="C34" s="40" t="s">
        <v>19</v>
      </c>
      <c r="D34" s="40"/>
      <c r="E34" s="40"/>
      <c r="F34" s="40"/>
      <c r="G34" s="40"/>
      <c r="H34" s="40"/>
      <c r="I34" s="40"/>
      <c r="J34" s="40"/>
      <c r="K34" s="40"/>
      <c r="L34" s="40"/>
      <c r="M34" s="40"/>
      <c r="N34" s="40"/>
      <c r="O34" s="40"/>
    </row>
    <row r="35" spans="2:15" ht="12" x14ac:dyDescent="0.2">
      <c r="B35" s="41"/>
      <c r="C35" s="40" t="s">
        <v>20</v>
      </c>
      <c r="D35" s="40"/>
      <c r="E35" s="40"/>
      <c r="F35" s="40"/>
      <c r="G35" s="40"/>
      <c r="H35" s="40"/>
      <c r="I35" s="40"/>
      <c r="J35" s="40"/>
      <c r="K35" s="40"/>
      <c r="L35" s="40"/>
      <c r="M35" s="40"/>
      <c r="N35" s="40"/>
      <c r="O35" s="40"/>
    </row>
    <row r="36" spans="2:15" ht="12" x14ac:dyDescent="0.2">
      <c r="B36" s="41"/>
      <c r="C36" s="40" t="s">
        <v>21</v>
      </c>
      <c r="D36" s="40"/>
      <c r="E36" s="40"/>
      <c r="F36" s="40"/>
      <c r="G36" s="40"/>
      <c r="H36" s="40"/>
      <c r="I36" s="40"/>
      <c r="J36" s="40"/>
      <c r="K36" s="40"/>
      <c r="L36" s="40"/>
      <c r="M36" s="40"/>
      <c r="N36" s="40"/>
      <c r="O36" s="40"/>
    </row>
    <row r="37" spans="2:15" ht="12" x14ac:dyDescent="0.2">
      <c r="B37" s="41"/>
      <c r="C37" s="40" t="s">
        <v>22</v>
      </c>
      <c r="D37" s="40"/>
      <c r="E37" s="40"/>
      <c r="F37" s="40"/>
      <c r="G37" s="40"/>
      <c r="H37" s="40"/>
      <c r="I37" s="40"/>
      <c r="J37" s="40"/>
      <c r="K37" s="40"/>
      <c r="L37" s="40"/>
      <c r="M37" s="40"/>
      <c r="N37" s="40"/>
      <c r="O37" s="40"/>
    </row>
    <row r="38" spans="2:15" ht="12" x14ac:dyDescent="0.2">
      <c r="B38" s="41"/>
      <c r="C38" s="40" t="s">
        <v>23</v>
      </c>
      <c r="D38" s="40"/>
      <c r="E38" s="40"/>
      <c r="F38" s="40"/>
      <c r="G38" s="40"/>
      <c r="H38" s="40"/>
      <c r="I38" s="40"/>
      <c r="J38" s="40"/>
      <c r="K38" s="40"/>
      <c r="L38" s="40"/>
      <c r="M38" s="40"/>
      <c r="N38" s="40"/>
      <c r="O38" s="40"/>
    </row>
    <row r="39" spans="2:15" ht="12" x14ac:dyDescent="0.2">
      <c r="B39" s="41"/>
      <c r="C39" s="40" t="s">
        <v>24</v>
      </c>
      <c r="D39" s="40"/>
      <c r="E39" s="40"/>
      <c r="F39" s="40"/>
      <c r="G39" s="40"/>
      <c r="H39" s="40"/>
      <c r="I39" s="40"/>
      <c r="J39" s="40"/>
      <c r="K39" s="40"/>
      <c r="L39" s="40"/>
      <c r="M39" s="40"/>
      <c r="N39" s="40"/>
      <c r="O39" s="40"/>
    </row>
    <row r="40" spans="2:15" ht="12" x14ac:dyDescent="0.2">
      <c r="B40" s="41"/>
      <c r="C40" s="41" t="s">
        <v>25</v>
      </c>
      <c r="D40" s="40"/>
      <c r="E40" s="40"/>
      <c r="F40" s="40"/>
      <c r="G40" s="40"/>
      <c r="H40" s="40"/>
      <c r="I40" s="40"/>
      <c r="J40" s="40"/>
      <c r="K40" s="40"/>
      <c r="L40" s="40"/>
      <c r="M40" s="40"/>
      <c r="N40" s="40"/>
      <c r="O40" s="40"/>
    </row>
    <row r="41" spans="2:15" ht="12" x14ac:dyDescent="0.2">
      <c r="B41" s="40" t="s">
        <v>26</v>
      </c>
      <c r="C41" s="40"/>
      <c r="D41" s="40"/>
      <c r="E41" s="40"/>
      <c r="F41" s="40"/>
      <c r="G41" s="40"/>
      <c r="H41" s="40"/>
      <c r="I41" s="40"/>
      <c r="J41" s="40"/>
      <c r="K41" s="40"/>
      <c r="L41" s="40"/>
      <c r="M41" s="40"/>
      <c r="N41" s="40"/>
      <c r="O41" s="40"/>
    </row>
    <row r="42" spans="2:15" ht="12" x14ac:dyDescent="0.2">
      <c r="B42" s="40">
        <v>1</v>
      </c>
      <c r="C42" s="40" t="s">
        <v>27</v>
      </c>
      <c r="D42" s="40"/>
      <c r="E42" s="40"/>
      <c r="F42" s="40"/>
      <c r="G42" s="40"/>
      <c r="H42" s="40"/>
      <c r="I42" s="40"/>
      <c r="J42" s="40"/>
      <c r="K42" s="40"/>
      <c r="L42" s="40"/>
      <c r="M42" s="40"/>
      <c r="N42" s="40"/>
      <c r="O42" s="40"/>
    </row>
    <row r="43" spans="2:15" ht="12" x14ac:dyDescent="0.2">
      <c r="B43" s="40">
        <v>2</v>
      </c>
      <c r="C43" s="40" t="s">
        <v>28</v>
      </c>
      <c r="D43" s="40"/>
      <c r="E43" s="40"/>
      <c r="F43" s="40"/>
      <c r="G43" s="40"/>
      <c r="H43" s="40"/>
      <c r="I43" s="40"/>
      <c r="J43" s="40"/>
      <c r="K43" s="40"/>
      <c r="L43" s="40"/>
      <c r="M43" s="40"/>
      <c r="N43" s="40"/>
      <c r="O43" s="40"/>
    </row>
    <row r="44" spans="2:15" ht="12" x14ac:dyDescent="0.2">
      <c r="B44" s="40"/>
      <c r="C44" s="40" t="s">
        <v>29</v>
      </c>
      <c r="D44" s="40"/>
      <c r="E44" s="40"/>
      <c r="F44" s="40"/>
      <c r="G44" s="40"/>
      <c r="H44" s="40"/>
      <c r="I44" s="40"/>
      <c r="J44" s="40"/>
      <c r="K44" s="40"/>
      <c r="L44" s="40"/>
      <c r="M44" s="40"/>
      <c r="N44" s="40"/>
      <c r="O44" s="40"/>
    </row>
    <row r="45" spans="2:15" ht="12" x14ac:dyDescent="0.2">
      <c r="B45" s="40">
        <v>3</v>
      </c>
      <c r="C45" s="40" t="s">
        <v>30</v>
      </c>
      <c r="D45" s="40"/>
      <c r="E45" s="40"/>
      <c r="F45" s="40"/>
      <c r="G45" s="40"/>
      <c r="H45" s="40"/>
      <c r="I45" s="40"/>
      <c r="J45" s="40"/>
      <c r="K45" s="40"/>
      <c r="L45" s="40"/>
      <c r="M45" s="40"/>
      <c r="N45" s="40"/>
      <c r="O45" s="40"/>
    </row>
    <row r="46" spans="2:15" ht="12" x14ac:dyDescent="0.2">
      <c r="B46" s="40"/>
      <c r="C46" s="40"/>
      <c r="E46" s="40"/>
      <c r="F46" s="40"/>
      <c r="G46" s="40"/>
      <c r="I46" s="40"/>
      <c r="J46" s="40"/>
      <c r="K46" s="40"/>
      <c r="L46" s="40"/>
      <c r="M46" s="40"/>
      <c r="N46" s="40"/>
      <c r="O46" s="40"/>
    </row>
    <row r="47" spans="2:15" ht="12" x14ac:dyDescent="0.2">
      <c r="B47" s="40"/>
      <c r="C47" s="40"/>
      <c r="D47" s="40"/>
      <c r="E47" s="40"/>
      <c r="F47" s="40"/>
      <c r="G47" s="40"/>
      <c r="H47" s="40"/>
      <c r="I47" s="40"/>
      <c r="J47" s="40"/>
      <c r="K47" s="40"/>
      <c r="L47" s="40"/>
      <c r="M47" s="40"/>
      <c r="N47" s="40"/>
      <c r="O47" s="40"/>
    </row>
    <row r="70" spans="4:4" ht="12.75" x14ac:dyDescent="0.2">
      <c r="D70" s="67" t="s">
        <v>31</v>
      </c>
    </row>
    <row r="71" spans="4:4" ht="12.75" x14ac:dyDescent="0.2">
      <c r="D71" s="67" t="s">
        <v>32</v>
      </c>
    </row>
    <row r="72" spans="4:4" ht="12.75" x14ac:dyDescent="0.2">
      <c r="D72" s="67" t="s">
        <v>33</v>
      </c>
    </row>
  </sheetData>
  <pageMargins left="0" right="0" top="0" bottom="0" header="0.19685039370078741" footer="0.11811023622047244"/>
  <pageSetup paperSize="9" scale="95" orientation="portrait" horizontalDpi="4294967293"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B1:W46"/>
  <sheetViews>
    <sheetView showGridLines="0" showRowColHeaders="0" zoomScale="90" zoomScaleNormal="90" zoomScalePageLayoutView="90" workbookViewId="0">
      <selection activeCell="AC27" sqref="AC27"/>
    </sheetView>
  </sheetViews>
  <sheetFormatPr defaultColWidth="9.33203125" defaultRowHeight="15" x14ac:dyDescent="0.25"/>
  <cols>
    <col min="1" max="22" width="9.83203125" style="21" customWidth="1"/>
    <col min="23" max="23" width="3.6640625" style="21" customWidth="1"/>
    <col min="24" max="24" width="9.83203125" style="21" customWidth="1"/>
    <col min="25" max="28" width="9.33203125" style="21"/>
    <col min="29" max="29" width="6.5" style="21" customWidth="1"/>
    <col min="30" max="30" width="5" style="21" customWidth="1"/>
    <col min="31" max="16384" width="9.33203125" style="21"/>
  </cols>
  <sheetData>
    <row r="1" spans="2:23" ht="27" customHeight="1" x14ac:dyDescent="0.25">
      <c r="T1" s="98" t="s">
        <v>34</v>
      </c>
      <c r="U1" s="99"/>
      <c r="V1" s="99"/>
      <c r="W1" s="100"/>
    </row>
    <row r="2" spans="2:23" ht="30.75" customHeight="1" thickBot="1" x14ac:dyDescent="0.3">
      <c r="T2" s="101"/>
      <c r="U2" s="102"/>
      <c r="V2" s="102"/>
      <c r="W2" s="103"/>
    </row>
    <row r="3" spans="2:23" ht="30.75" customHeight="1" x14ac:dyDescent="0.25"/>
    <row r="5" spans="2:23" x14ac:dyDescent="0.25"/>
    <row r="6" spans="2:23" ht="19.5" customHeight="1" x14ac:dyDescent="0.25"/>
    <row r="7" spans="2:23" ht="18" customHeight="1" x14ac:dyDescent="0.25">
      <c r="B7" s="94"/>
      <c r="C7" s="94"/>
      <c r="D7" s="94"/>
      <c r="E7" s="94"/>
    </row>
    <row r="8" spans="2:23" ht="11.25" customHeight="1" x14ac:dyDescent="0.25">
      <c r="B8" s="107" t="s">
        <v>188</v>
      </c>
      <c r="C8" s="108"/>
      <c r="D8" s="108"/>
      <c r="E8" s="109"/>
      <c r="H8" s="104" t="str">
        <f>'Benchmarking results P2'!$C$8</f>
        <v>Blue needle = PHX   Red needle = Cohort Ave.</v>
      </c>
      <c r="I8" s="105"/>
      <c r="J8" s="105"/>
      <c r="K8" s="106"/>
      <c r="N8" s="71" t="str">
        <f>'Benchmarking results P2'!$C$8</f>
        <v>Blue needle = PHX   Red needle = Cohort Ave.</v>
      </c>
      <c r="O8" s="69"/>
      <c r="P8" s="69"/>
      <c r="Q8" s="70"/>
    </row>
    <row r="21" spans="5:22" ht="12" customHeight="1" x14ac:dyDescent="0.25"/>
    <row r="23" spans="5:22" x14ac:dyDescent="0.25"/>
    <row r="26" spans="5:22" ht="12.75" customHeight="1" x14ac:dyDescent="0.25">
      <c r="E26" s="104" t="str">
        <f>'Benchmarking results P2'!$C$8</f>
        <v>Blue needle = PHX   Red needle = Cohort Ave.</v>
      </c>
      <c r="F26" s="105"/>
      <c r="G26" s="105"/>
      <c r="H26" s="106"/>
      <c r="K26" s="104" t="str">
        <f>'Benchmarking results P2'!$C$8</f>
        <v>Blue needle = PHX   Red needle = Cohort Ave.</v>
      </c>
      <c r="L26" s="105"/>
      <c r="M26" s="105"/>
      <c r="N26" s="106"/>
      <c r="R26" s="104" t="str">
        <f>'Benchmarking results P2'!$C$8</f>
        <v>Blue needle = PHX   Red needle = Cohort Ave.</v>
      </c>
      <c r="S26" s="105"/>
      <c r="T26" s="105"/>
      <c r="U26" s="106"/>
    </row>
    <row r="30" spans="5:22" x14ac:dyDescent="0.25">
      <c r="K30" s="46"/>
    </row>
    <row r="32" spans="5:22" x14ac:dyDescent="0.25">
      <c r="R32" s="46"/>
    </row>
    <row r="34" spans="4:16" ht="12" customHeight="1" x14ac:dyDescent="0.25"/>
    <row r="42" spans="4:16" x14ac:dyDescent="0.25"/>
    <row r="46" spans="4:16" x14ac:dyDescent="0.25">
      <c r="D46" s="104" t="str">
        <f>'Benchmarking results P2'!$C$8</f>
        <v>Blue needle = PHX   Red needle = Cohort Ave.</v>
      </c>
      <c r="E46" s="105"/>
      <c r="F46" s="105"/>
      <c r="G46" s="106"/>
      <c r="L46" s="104" t="str">
        <f>'Benchmarking results P2'!$C$8</f>
        <v>Blue needle = PHX   Red needle = Cohort Ave.</v>
      </c>
      <c r="M46" s="105"/>
      <c r="N46" s="105"/>
      <c r="O46" s="106"/>
    </row>
  </sheetData>
  <mergeCells count="8">
    <mergeCell ref="D46:G46"/>
    <mergeCell ref="L46:O46"/>
    <mergeCell ref="T1:W2"/>
    <mergeCell ref="B8:E8"/>
    <mergeCell ref="H8:K8"/>
    <mergeCell ref="E26:H26"/>
    <mergeCell ref="K26:N26"/>
    <mergeCell ref="R26:U26"/>
  </mergeCells>
  <printOptions horizontalCentered="1"/>
  <pageMargins left="0.11811023622047245" right="0.11811023622047245" top="0.15748031496062992" bottom="0.15748031496062992" header="0" footer="0"/>
  <pageSetup paperSize="9" scale="84" fitToHeight="0" orientation="landscape" cellComments="atEnd" horizontalDpi="4294967293" r:id="rId1"/>
  <rowBreaks count="1" manualBreakCount="1">
    <brk id="39" max="22"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
  <sheetViews>
    <sheetView showRowColHeaders="0" workbookViewId="0">
      <selection activeCell="R14" sqref="R14"/>
    </sheetView>
  </sheetViews>
  <sheetFormatPr defaultColWidth="9.33203125" defaultRowHeight="11.25" x14ac:dyDescent="0.2"/>
  <cols>
    <col min="1" max="16384" width="9.33203125" style="1"/>
  </cols>
  <sheetData/>
  <pageMargins left="0.7" right="0.7"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B1:AO121"/>
  <sheetViews>
    <sheetView showGridLines="0" showRowColHeaders="0" zoomScale="80" zoomScaleNormal="80" workbookViewId="0">
      <selection activeCell="AF91" sqref="AF91"/>
    </sheetView>
  </sheetViews>
  <sheetFormatPr defaultColWidth="9.33203125" defaultRowHeight="11.25" x14ac:dyDescent="0.2"/>
  <cols>
    <col min="1" max="1" width="3.83203125" style="1" customWidth="1"/>
    <col min="2" max="2" width="3.33203125" style="1" customWidth="1"/>
    <col min="3" max="3" width="4.1640625" style="1" customWidth="1"/>
    <col min="4" max="13" width="9.33203125" style="1"/>
    <col min="14" max="14" width="3.5" style="1" customWidth="1"/>
    <col min="15" max="15" width="9.33203125" style="1"/>
    <col min="16" max="16" width="3.33203125" style="1" customWidth="1"/>
    <col min="17" max="17" width="4.1640625" style="1" customWidth="1"/>
    <col min="18" max="26" width="9.33203125" style="1"/>
    <col min="27" max="27" width="3.6640625" style="1" customWidth="1"/>
    <col min="28" max="28" width="10.1640625" style="1" customWidth="1"/>
    <col min="29" max="29" width="3.83203125" style="1" customWidth="1"/>
    <col min="30" max="30" width="7.83203125" style="1" customWidth="1"/>
    <col min="31" max="38" width="9.33203125" style="1"/>
    <col min="39" max="39" width="5" style="1" customWidth="1"/>
    <col min="40" max="41" width="4.5" style="1" customWidth="1"/>
    <col min="42" max="16384" width="9.33203125" style="1"/>
  </cols>
  <sheetData>
    <row r="1" spans="3:31" ht="21" x14ac:dyDescent="0.35">
      <c r="C1" s="2"/>
      <c r="Q1" s="2"/>
    </row>
    <row r="5" spans="3:31" ht="12" thickBot="1" x14ac:dyDescent="0.25"/>
    <row r="6" spans="3:31" ht="18.75" x14ac:dyDescent="0.25">
      <c r="K6" s="78"/>
      <c r="L6" s="76"/>
      <c r="M6" s="76"/>
      <c r="N6" s="76"/>
      <c r="O6" s="60"/>
      <c r="P6" s="60"/>
      <c r="Q6" s="60"/>
      <c r="R6" s="60"/>
      <c r="S6" s="60"/>
      <c r="T6" s="60"/>
      <c r="U6" s="60"/>
      <c r="V6" s="60"/>
      <c r="W6" s="60"/>
      <c r="X6" s="60"/>
      <c r="Y6" s="60"/>
      <c r="Z6" s="60"/>
      <c r="AA6" s="60"/>
      <c r="AB6" s="60"/>
      <c r="AC6" s="60"/>
      <c r="AD6" s="60"/>
      <c r="AE6" s="77"/>
    </row>
    <row r="7" spans="3:31" ht="18.75" x14ac:dyDescent="0.25">
      <c r="K7" s="78"/>
      <c r="L7" s="6"/>
      <c r="M7" s="6"/>
      <c r="N7" s="6"/>
      <c r="O7" s="68"/>
      <c r="P7" s="68"/>
      <c r="Q7" s="68"/>
      <c r="R7" s="68"/>
      <c r="S7" s="68"/>
      <c r="T7" s="68"/>
      <c r="U7" s="68"/>
      <c r="V7" s="68"/>
      <c r="W7" s="68"/>
      <c r="X7" s="68"/>
      <c r="Y7" s="68"/>
      <c r="Z7" s="68"/>
      <c r="AA7" s="68"/>
      <c r="AB7" s="68"/>
      <c r="AC7" s="68"/>
      <c r="AD7" s="68"/>
      <c r="AE7" s="78"/>
    </row>
    <row r="8" spans="3:31" ht="18.75" x14ac:dyDescent="0.25">
      <c r="K8" s="78"/>
      <c r="L8" s="6"/>
      <c r="M8" s="6"/>
      <c r="N8" s="6"/>
      <c r="O8" s="68"/>
      <c r="P8" s="68"/>
      <c r="Q8" s="68"/>
      <c r="R8" s="68"/>
      <c r="S8" s="68"/>
      <c r="T8" s="68"/>
      <c r="U8" s="68"/>
      <c r="V8" s="68"/>
      <c r="W8" s="68"/>
      <c r="X8" s="68"/>
      <c r="Y8" s="68"/>
      <c r="Z8" s="68"/>
      <c r="AA8" s="68"/>
      <c r="AB8" s="68"/>
      <c r="AC8" s="68"/>
      <c r="AD8" s="68"/>
      <c r="AE8" s="78"/>
    </row>
    <row r="9" spans="3:31" ht="15" customHeight="1" x14ac:dyDescent="0.25">
      <c r="K9" s="78"/>
      <c r="L9" s="6"/>
      <c r="M9" s="121" t="s">
        <v>163</v>
      </c>
      <c r="N9" s="121"/>
      <c r="O9" s="121"/>
      <c r="P9" s="121"/>
      <c r="Q9" s="121"/>
      <c r="R9" s="121"/>
      <c r="S9" s="121"/>
      <c r="T9" s="121"/>
      <c r="U9" s="121"/>
      <c r="V9" s="121"/>
      <c r="W9" s="121"/>
      <c r="X9" s="121"/>
      <c r="Y9" s="121"/>
      <c r="Z9" s="121"/>
      <c r="AA9" s="121"/>
      <c r="AB9" s="121"/>
      <c r="AC9" s="121"/>
      <c r="AD9" s="121"/>
      <c r="AE9" s="78"/>
    </row>
    <row r="10" spans="3:31" ht="15" x14ac:dyDescent="0.25">
      <c r="K10" s="78"/>
      <c r="L10" s="6"/>
      <c r="M10" s="121"/>
      <c r="N10" s="121"/>
      <c r="O10" s="121"/>
      <c r="P10" s="121"/>
      <c r="Q10" s="121"/>
      <c r="R10" s="121"/>
      <c r="S10" s="121"/>
      <c r="T10" s="121"/>
      <c r="U10" s="121"/>
      <c r="V10" s="121"/>
      <c r="W10" s="121"/>
      <c r="X10" s="121"/>
      <c r="Y10" s="121"/>
      <c r="Z10" s="121"/>
      <c r="AA10" s="121"/>
      <c r="AB10" s="121"/>
      <c r="AC10" s="121"/>
      <c r="AD10" s="121"/>
      <c r="AE10" s="78"/>
    </row>
    <row r="11" spans="3:31" ht="17.25" customHeight="1" x14ac:dyDescent="0.25">
      <c r="K11" s="78"/>
      <c r="L11" s="6"/>
      <c r="M11" s="92" t="s">
        <v>164</v>
      </c>
      <c r="N11" s="6"/>
      <c r="O11" s="6"/>
      <c r="P11" s="6"/>
      <c r="Q11" s="6"/>
      <c r="R11" s="6"/>
      <c r="S11" s="6"/>
      <c r="T11" s="6"/>
      <c r="U11" s="6"/>
      <c r="V11" s="6"/>
      <c r="W11" s="6"/>
      <c r="X11" s="6"/>
      <c r="Y11" s="6"/>
      <c r="Z11" s="6"/>
      <c r="AA11" s="6"/>
      <c r="AB11" s="6"/>
      <c r="AC11" s="6"/>
      <c r="AD11" s="6"/>
      <c r="AE11" s="78"/>
    </row>
    <row r="12" spans="3:31" ht="15" customHeight="1" x14ac:dyDescent="0.25">
      <c r="K12" s="78"/>
      <c r="L12" s="125" t="s">
        <v>165</v>
      </c>
      <c r="M12" s="124"/>
      <c r="N12" s="124"/>
      <c r="O12" s="124"/>
      <c r="P12" s="124"/>
      <c r="Q12" s="124"/>
      <c r="R12" s="124"/>
      <c r="S12" s="124"/>
      <c r="T12" s="124"/>
      <c r="U12" s="124"/>
      <c r="V12" s="124"/>
      <c r="W12" s="124"/>
      <c r="X12" s="124"/>
      <c r="Y12" s="124"/>
      <c r="Z12" s="124"/>
      <c r="AA12" s="124"/>
      <c r="AB12" s="124"/>
      <c r="AC12" s="124"/>
      <c r="AD12" s="124"/>
      <c r="AE12" s="126"/>
    </row>
    <row r="13" spans="3:31" ht="18.75" customHeight="1" x14ac:dyDescent="0.25">
      <c r="K13" s="78"/>
      <c r="L13" s="6"/>
      <c r="M13" s="124"/>
      <c r="N13" s="124"/>
      <c r="O13" s="124"/>
      <c r="P13" s="124"/>
      <c r="Q13" s="124"/>
      <c r="R13" s="124"/>
      <c r="S13" s="124"/>
      <c r="T13" s="124"/>
      <c r="U13" s="124"/>
      <c r="V13" s="124"/>
      <c r="W13" s="124"/>
      <c r="X13" s="124"/>
      <c r="Y13" s="124"/>
      <c r="Z13" s="124"/>
      <c r="AA13" s="124"/>
      <c r="AB13" s="124"/>
      <c r="AC13" s="124"/>
      <c r="AD13" s="124"/>
      <c r="AE13" s="78"/>
    </row>
    <row r="14" spans="3:31" ht="15" x14ac:dyDescent="0.25">
      <c r="K14" s="51"/>
      <c r="O14" s="3"/>
      <c r="P14" s="4"/>
      <c r="Q14" s="3"/>
      <c r="R14" s="61"/>
      <c r="S14" s="3"/>
      <c r="T14" s="3"/>
      <c r="U14" s="3"/>
      <c r="V14" s="3"/>
      <c r="W14" s="3"/>
      <c r="X14" s="3"/>
      <c r="Y14" s="3"/>
      <c r="Z14" s="3"/>
      <c r="AA14" s="3"/>
      <c r="AB14" s="3"/>
      <c r="AC14" s="3"/>
      <c r="AE14" s="51"/>
    </row>
    <row r="15" spans="3:31" ht="15" x14ac:dyDescent="0.25">
      <c r="K15" s="51"/>
      <c r="O15" s="3"/>
      <c r="P15" s="4"/>
      <c r="Q15" s="3"/>
      <c r="R15" s="3"/>
      <c r="S15" s="3"/>
      <c r="T15" s="3"/>
      <c r="U15" s="3"/>
      <c r="V15" s="3"/>
      <c r="W15" s="3"/>
      <c r="X15" s="3"/>
      <c r="Y15" s="3"/>
      <c r="Z15" s="3"/>
      <c r="AA15" s="3"/>
      <c r="AB15" s="3"/>
      <c r="AC15" s="3"/>
      <c r="AE15" s="51"/>
    </row>
    <row r="16" spans="3:31" ht="15" x14ac:dyDescent="0.25">
      <c r="K16" s="51"/>
      <c r="O16" s="3"/>
      <c r="P16" s="4"/>
      <c r="Q16" s="3"/>
      <c r="R16" s="3"/>
      <c r="S16" s="3"/>
      <c r="T16" s="3"/>
      <c r="U16" s="3"/>
      <c r="V16" s="3"/>
      <c r="W16" s="3"/>
      <c r="X16" s="3"/>
      <c r="Y16" s="3"/>
      <c r="Z16" s="3"/>
      <c r="AA16" s="3"/>
      <c r="AB16" s="3"/>
      <c r="AC16" s="3"/>
      <c r="AE16" s="51"/>
    </row>
    <row r="17" spans="11:31" ht="15" customHeight="1" x14ac:dyDescent="0.2">
      <c r="K17" s="51"/>
      <c r="M17" s="114" t="s">
        <v>35</v>
      </c>
      <c r="N17" s="114"/>
      <c r="O17" s="114"/>
      <c r="P17" s="114"/>
      <c r="Q17" s="114"/>
      <c r="R17" s="114"/>
      <c r="S17" s="114"/>
      <c r="T17" s="114"/>
      <c r="U17" s="114"/>
      <c r="V17" s="114"/>
      <c r="W17" s="114"/>
      <c r="X17" s="114"/>
      <c r="Y17" s="114"/>
      <c r="Z17" s="114"/>
      <c r="AA17" s="114"/>
      <c r="AB17" s="114"/>
      <c r="AC17" s="114"/>
      <c r="AD17" s="114"/>
      <c r="AE17" s="51"/>
    </row>
    <row r="18" spans="11:31" ht="15" customHeight="1" x14ac:dyDescent="0.2">
      <c r="K18" s="51"/>
      <c r="M18" s="114"/>
      <c r="N18" s="114"/>
      <c r="O18" s="114"/>
      <c r="P18" s="114"/>
      <c r="Q18" s="114"/>
      <c r="R18" s="114"/>
      <c r="S18" s="114"/>
      <c r="T18" s="114"/>
      <c r="U18" s="114"/>
      <c r="V18" s="114"/>
      <c r="W18" s="114"/>
      <c r="X18" s="114"/>
      <c r="Y18" s="114"/>
      <c r="Z18" s="114"/>
      <c r="AA18" s="114"/>
      <c r="AB18" s="114"/>
      <c r="AC18" s="114"/>
      <c r="AD18" s="114"/>
      <c r="AE18" s="51"/>
    </row>
    <row r="19" spans="11:31" ht="15" customHeight="1" x14ac:dyDescent="0.2">
      <c r="K19" s="51"/>
      <c r="M19" s="114"/>
      <c r="N19" s="114"/>
      <c r="O19" s="114"/>
      <c r="P19" s="114"/>
      <c r="Q19" s="114"/>
      <c r="R19" s="114"/>
      <c r="S19" s="114"/>
      <c r="T19" s="114"/>
      <c r="U19" s="114"/>
      <c r="V19" s="114"/>
      <c r="W19" s="114"/>
      <c r="X19" s="114"/>
      <c r="Y19" s="114"/>
      <c r="Z19" s="114"/>
      <c r="AA19" s="114"/>
      <c r="AB19" s="114"/>
      <c r="AC19" s="114"/>
      <c r="AD19" s="114"/>
      <c r="AE19" s="51"/>
    </row>
    <row r="20" spans="11:31" ht="15" customHeight="1" x14ac:dyDescent="0.2">
      <c r="K20" s="51"/>
      <c r="M20" s="114"/>
      <c r="N20" s="114"/>
      <c r="O20" s="114"/>
      <c r="P20" s="114"/>
      <c r="Q20" s="114"/>
      <c r="R20" s="114"/>
      <c r="S20" s="114"/>
      <c r="T20" s="114"/>
      <c r="U20" s="114"/>
      <c r="V20" s="114"/>
      <c r="W20" s="114"/>
      <c r="X20" s="114"/>
      <c r="Y20" s="114"/>
      <c r="Z20" s="114"/>
      <c r="AA20" s="114"/>
      <c r="AB20" s="114"/>
      <c r="AC20" s="114"/>
      <c r="AD20" s="114"/>
      <c r="AE20" s="51"/>
    </row>
    <row r="21" spans="11:31" ht="15" customHeight="1" x14ac:dyDescent="0.2">
      <c r="K21" s="51"/>
      <c r="M21" s="114"/>
      <c r="N21" s="114"/>
      <c r="O21" s="114"/>
      <c r="P21" s="114"/>
      <c r="Q21" s="114"/>
      <c r="R21" s="114"/>
      <c r="S21" s="114"/>
      <c r="T21" s="114"/>
      <c r="U21" s="114"/>
      <c r="V21" s="114"/>
      <c r="W21" s="114"/>
      <c r="X21" s="114"/>
      <c r="Y21" s="114"/>
      <c r="Z21" s="114"/>
      <c r="AA21" s="114"/>
      <c r="AB21" s="114"/>
      <c r="AC21" s="114"/>
      <c r="AD21" s="114"/>
      <c r="AE21" s="51"/>
    </row>
    <row r="22" spans="11:31" ht="15" customHeight="1" x14ac:dyDescent="0.2">
      <c r="K22" s="51"/>
      <c r="M22" s="114"/>
      <c r="N22" s="114"/>
      <c r="O22" s="114"/>
      <c r="P22" s="114"/>
      <c r="Q22" s="114"/>
      <c r="R22" s="114"/>
      <c r="S22" s="114"/>
      <c r="T22" s="114"/>
      <c r="U22" s="114"/>
      <c r="V22" s="114"/>
      <c r="W22" s="114"/>
      <c r="X22" s="114"/>
      <c r="Y22" s="114"/>
      <c r="Z22" s="114"/>
      <c r="AA22" s="114"/>
      <c r="AB22" s="114"/>
      <c r="AC22" s="114"/>
      <c r="AD22" s="114"/>
      <c r="AE22" s="51"/>
    </row>
    <row r="23" spans="11:31" ht="15" customHeight="1" x14ac:dyDescent="0.2">
      <c r="K23" s="51"/>
      <c r="M23" s="86"/>
      <c r="N23" s="86"/>
      <c r="O23" s="86"/>
      <c r="P23" s="86"/>
      <c r="Q23" s="86"/>
      <c r="R23" s="86"/>
      <c r="S23" s="86"/>
      <c r="T23" s="86"/>
      <c r="U23" s="86"/>
      <c r="V23" s="86"/>
      <c r="W23" s="86"/>
      <c r="X23" s="86"/>
      <c r="Y23" s="86"/>
      <c r="Z23" s="86"/>
      <c r="AA23" s="86"/>
      <c r="AB23" s="86"/>
      <c r="AC23" s="86"/>
      <c r="AD23" s="86"/>
      <c r="AE23" s="51"/>
    </row>
    <row r="24" spans="11:31" ht="15" x14ac:dyDescent="0.25">
      <c r="K24" s="51"/>
      <c r="M24" s="121" t="s">
        <v>166</v>
      </c>
      <c r="N24" s="121"/>
      <c r="O24" s="121"/>
      <c r="P24" s="121"/>
      <c r="Q24" s="121"/>
      <c r="R24" s="121"/>
      <c r="S24" s="121"/>
      <c r="T24" s="121"/>
      <c r="U24" s="121"/>
      <c r="V24" s="121"/>
      <c r="W24" s="121"/>
      <c r="X24" s="121"/>
      <c r="Y24" s="121"/>
      <c r="Z24" s="121"/>
      <c r="AA24" s="121"/>
      <c r="AB24" s="121"/>
      <c r="AC24" s="121"/>
      <c r="AD24" s="121"/>
      <c r="AE24" s="51"/>
    </row>
    <row r="25" spans="11:31" ht="15" x14ac:dyDescent="0.25">
      <c r="K25" s="51"/>
      <c r="M25" s="85"/>
      <c r="N25" s="85"/>
      <c r="O25" s="85"/>
      <c r="P25" s="85"/>
      <c r="Q25" s="85"/>
      <c r="R25" s="85"/>
      <c r="S25" s="85"/>
      <c r="T25" s="85"/>
      <c r="U25" s="85"/>
      <c r="V25" s="85"/>
      <c r="W25" s="85"/>
      <c r="X25" s="85"/>
      <c r="Y25" s="85"/>
      <c r="Z25" s="85"/>
      <c r="AA25" s="85"/>
      <c r="AB25" s="85"/>
      <c r="AC25" s="85"/>
      <c r="AD25" s="85"/>
      <c r="AE25" s="51"/>
    </row>
    <row r="26" spans="11:31" ht="15" x14ac:dyDescent="0.25">
      <c r="K26" s="51"/>
      <c r="M26" s="85"/>
      <c r="N26" s="85"/>
      <c r="O26" s="85"/>
      <c r="P26" s="85"/>
      <c r="Q26" s="85"/>
      <c r="R26" s="85"/>
      <c r="S26" s="85"/>
      <c r="T26" s="85"/>
      <c r="U26" s="85"/>
      <c r="V26" s="85"/>
      <c r="W26" s="85"/>
      <c r="X26" s="85"/>
      <c r="Y26" s="85"/>
      <c r="Z26" s="85"/>
      <c r="AA26" s="85"/>
      <c r="AB26" s="85"/>
      <c r="AC26" s="85"/>
      <c r="AD26" s="85"/>
      <c r="AE26" s="51"/>
    </row>
    <row r="27" spans="11:31" ht="12" thickBot="1" x14ac:dyDescent="0.25">
      <c r="K27" s="51"/>
      <c r="L27" s="56"/>
      <c r="M27" s="56"/>
      <c r="N27" s="56"/>
      <c r="O27" s="56"/>
      <c r="P27" s="56"/>
      <c r="Q27" s="56"/>
      <c r="R27" s="56"/>
      <c r="S27" s="56"/>
      <c r="T27" s="56"/>
      <c r="U27" s="56"/>
      <c r="V27" s="56"/>
      <c r="W27" s="56"/>
      <c r="X27" s="56"/>
      <c r="Y27" s="56"/>
      <c r="Z27" s="56"/>
      <c r="AA27" s="56"/>
      <c r="AB27" s="56"/>
      <c r="AC27" s="56"/>
      <c r="AD27" s="56"/>
      <c r="AE27" s="58"/>
    </row>
    <row r="30" spans="11:31" ht="15" customHeight="1" x14ac:dyDescent="0.2"/>
    <row r="32" spans="11:31" ht="12" thickBot="1" x14ac:dyDescent="0.25"/>
    <row r="33" spans="2:41" ht="15" customHeight="1" x14ac:dyDescent="0.2">
      <c r="B33" s="47"/>
      <c r="C33" s="48"/>
      <c r="D33" s="48"/>
      <c r="E33" s="48"/>
      <c r="G33" s="48"/>
      <c r="H33" s="48"/>
      <c r="I33" s="48"/>
      <c r="J33" s="48"/>
      <c r="L33" s="48"/>
      <c r="M33" s="48"/>
      <c r="N33" s="49"/>
      <c r="P33" s="47"/>
      <c r="Q33" s="48"/>
      <c r="R33" s="48"/>
      <c r="S33" s="48"/>
      <c r="T33" s="48"/>
      <c r="U33" s="48"/>
      <c r="V33" s="48"/>
      <c r="W33" s="48"/>
      <c r="X33" s="48"/>
      <c r="Y33" s="48"/>
      <c r="Z33" s="48"/>
      <c r="AA33" s="49"/>
      <c r="AC33" s="47"/>
      <c r="AD33" s="48"/>
      <c r="AE33" s="48"/>
      <c r="AF33" s="48"/>
      <c r="AG33" s="48"/>
      <c r="AH33" s="48"/>
      <c r="AI33" s="48"/>
      <c r="AJ33" s="48"/>
      <c r="AK33" s="48"/>
      <c r="AL33" s="48"/>
      <c r="AM33" s="48"/>
      <c r="AN33" s="49"/>
    </row>
    <row r="34" spans="2:41" x14ac:dyDescent="0.2">
      <c r="B34" s="50"/>
      <c r="N34" s="51"/>
      <c r="P34" s="50"/>
      <c r="AA34" s="51"/>
      <c r="AC34" s="50"/>
      <c r="AN34" s="51"/>
    </row>
    <row r="35" spans="2:41" x14ac:dyDescent="0.2">
      <c r="B35" s="50"/>
      <c r="N35" s="51"/>
      <c r="P35" s="50"/>
      <c r="AA35" s="51"/>
      <c r="AC35" s="50"/>
      <c r="AN35" s="51"/>
    </row>
    <row r="36" spans="2:41" ht="15" x14ac:dyDescent="0.25">
      <c r="B36" s="50"/>
      <c r="C36" s="80"/>
      <c r="D36" s="82"/>
      <c r="E36" s="82"/>
      <c r="F36" s="82"/>
      <c r="G36" s="82"/>
      <c r="H36" s="82"/>
      <c r="I36" s="82"/>
      <c r="J36" s="82"/>
      <c r="K36" s="82"/>
      <c r="L36" s="82"/>
      <c r="M36" s="82"/>
      <c r="N36" s="51"/>
      <c r="P36" s="50"/>
      <c r="Q36" s="87"/>
      <c r="R36" s="52"/>
      <c r="S36" s="52"/>
      <c r="T36" s="52"/>
      <c r="U36" s="52"/>
      <c r="V36" s="52"/>
      <c r="W36" s="52"/>
      <c r="X36" s="52"/>
      <c r="Y36" s="52"/>
      <c r="Z36" s="52"/>
      <c r="AA36" s="53"/>
      <c r="AC36" s="50"/>
      <c r="AD36" s="87"/>
      <c r="AE36" s="52"/>
      <c r="AF36" s="52"/>
      <c r="AG36" s="52"/>
      <c r="AH36" s="52"/>
      <c r="AI36" s="52"/>
      <c r="AJ36" s="52"/>
      <c r="AK36" s="52"/>
      <c r="AL36" s="52"/>
      <c r="AM36" s="52"/>
      <c r="AN36" s="53"/>
      <c r="AO36" s="52"/>
    </row>
    <row r="37" spans="2:41" ht="15" x14ac:dyDescent="0.25">
      <c r="B37" s="50"/>
      <c r="C37" s="80"/>
      <c r="D37" s="81"/>
      <c r="E37" s="81"/>
      <c r="F37" s="81"/>
      <c r="G37" s="81"/>
      <c r="H37" s="81"/>
      <c r="I37" s="81"/>
      <c r="J37" s="81"/>
      <c r="K37" s="81"/>
      <c r="L37" s="81"/>
      <c r="M37" s="81"/>
      <c r="N37" s="51"/>
      <c r="P37" s="50"/>
      <c r="Q37" s="87"/>
      <c r="R37" s="52"/>
      <c r="S37" s="52"/>
      <c r="T37" s="52"/>
      <c r="U37" s="52"/>
      <c r="V37" s="52"/>
      <c r="W37" s="52"/>
      <c r="X37" s="52"/>
      <c r="Y37" s="52"/>
      <c r="Z37" s="52"/>
      <c r="AA37" s="53"/>
      <c r="AC37" s="50"/>
      <c r="AD37" s="84"/>
      <c r="AE37" s="74"/>
      <c r="AF37" s="74"/>
      <c r="AG37" s="74"/>
      <c r="AH37" s="74"/>
      <c r="AI37" s="74"/>
      <c r="AJ37" s="74"/>
      <c r="AK37" s="74"/>
      <c r="AL37" s="74"/>
      <c r="AM37" s="74"/>
      <c r="AN37" s="75"/>
      <c r="AO37" s="74"/>
    </row>
    <row r="38" spans="2:41" ht="15" x14ac:dyDescent="0.25">
      <c r="B38" s="50"/>
      <c r="C38" s="80"/>
      <c r="D38" s="81"/>
      <c r="E38" s="81"/>
      <c r="F38" s="81"/>
      <c r="G38" s="81"/>
      <c r="H38" s="81"/>
      <c r="I38" s="81"/>
      <c r="J38" s="81"/>
      <c r="K38" s="81"/>
      <c r="L38" s="81"/>
      <c r="M38" s="81"/>
      <c r="N38" s="51"/>
      <c r="P38" s="50"/>
      <c r="Q38" s="87"/>
      <c r="R38" s="52"/>
      <c r="S38" s="52"/>
      <c r="T38" s="52"/>
      <c r="U38" s="52"/>
      <c r="V38" s="52"/>
      <c r="W38" s="52"/>
      <c r="X38" s="52"/>
      <c r="Y38" s="52"/>
      <c r="Z38" s="52"/>
      <c r="AA38" s="53"/>
      <c r="AC38" s="50"/>
      <c r="AD38" s="84"/>
      <c r="AE38" s="74"/>
      <c r="AF38" s="74"/>
      <c r="AG38" s="74"/>
      <c r="AH38" s="74"/>
      <c r="AI38" s="74"/>
      <c r="AJ38" s="74"/>
      <c r="AK38" s="74"/>
      <c r="AL38" s="74"/>
      <c r="AM38" s="74"/>
      <c r="AN38" s="75"/>
      <c r="AO38" s="74"/>
    </row>
    <row r="39" spans="2:41" ht="15" customHeight="1" x14ac:dyDescent="0.25">
      <c r="B39" s="50"/>
      <c r="C39" s="128" t="s">
        <v>36</v>
      </c>
      <c r="D39" s="128"/>
      <c r="E39" s="128"/>
      <c r="F39" s="128"/>
      <c r="G39" s="128"/>
      <c r="H39" s="128"/>
      <c r="I39" s="128"/>
      <c r="J39" s="128"/>
      <c r="K39" s="128"/>
      <c r="L39" s="128"/>
      <c r="M39" s="128"/>
      <c r="N39" s="51"/>
      <c r="P39" s="50"/>
      <c r="Q39" s="127" t="s">
        <v>37</v>
      </c>
      <c r="R39" s="127"/>
      <c r="S39" s="127"/>
      <c r="T39" s="127"/>
      <c r="U39" s="127"/>
      <c r="V39" s="127"/>
      <c r="W39" s="127"/>
      <c r="X39" s="127"/>
      <c r="Y39" s="127"/>
      <c r="Z39" s="127"/>
      <c r="AA39" s="53"/>
      <c r="AC39" s="50"/>
      <c r="AD39" s="84"/>
      <c r="AE39" s="74"/>
      <c r="AF39" s="74"/>
      <c r="AG39" s="74"/>
      <c r="AH39" s="74"/>
      <c r="AI39" s="74"/>
      <c r="AJ39" s="74"/>
      <c r="AK39" s="74"/>
      <c r="AL39" s="74"/>
      <c r="AM39" s="74"/>
      <c r="AN39" s="75"/>
      <c r="AO39" s="74"/>
    </row>
    <row r="40" spans="2:41" ht="15" customHeight="1" x14ac:dyDescent="0.25">
      <c r="B40" s="50"/>
      <c r="C40" s="120" t="s">
        <v>167</v>
      </c>
      <c r="D40" s="120"/>
      <c r="E40" s="120"/>
      <c r="F40" s="120"/>
      <c r="G40" s="120"/>
      <c r="H40" s="120"/>
      <c r="I40" s="120"/>
      <c r="J40" s="120"/>
      <c r="K40" s="120"/>
      <c r="L40" s="120"/>
      <c r="M40" s="120"/>
      <c r="N40" s="51"/>
      <c r="P40" s="50"/>
      <c r="Q40" s="118" t="s">
        <v>176</v>
      </c>
      <c r="R40" s="118"/>
      <c r="S40" s="118"/>
      <c r="T40" s="118"/>
      <c r="U40" s="118"/>
      <c r="V40" s="118"/>
      <c r="W40" s="118"/>
      <c r="X40" s="118"/>
      <c r="Y40" s="118"/>
      <c r="Z40" s="118"/>
      <c r="AA40" s="53"/>
      <c r="AC40" s="50"/>
      <c r="AD40" s="84"/>
      <c r="AE40" s="74"/>
      <c r="AF40" s="74"/>
      <c r="AG40" s="74"/>
      <c r="AH40" s="74"/>
      <c r="AI40" s="74"/>
      <c r="AJ40" s="74"/>
      <c r="AK40" s="74"/>
      <c r="AL40" s="74"/>
      <c r="AM40" s="74"/>
      <c r="AN40" s="75"/>
      <c r="AO40" s="74"/>
    </row>
    <row r="41" spans="2:41" ht="14.25" customHeight="1" x14ac:dyDescent="0.2">
      <c r="B41" s="50"/>
      <c r="C41" s="120"/>
      <c r="D41" s="120"/>
      <c r="E41" s="120"/>
      <c r="F41" s="120"/>
      <c r="G41" s="120"/>
      <c r="H41" s="120"/>
      <c r="I41" s="120"/>
      <c r="J41" s="120"/>
      <c r="K41" s="120"/>
      <c r="L41" s="120"/>
      <c r="M41" s="120"/>
      <c r="N41" s="51"/>
      <c r="P41" s="50"/>
      <c r="Q41" s="118"/>
      <c r="R41" s="118"/>
      <c r="S41" s="118"/>
      <c r="T41" s="118"/>
      <c r="U41" s="118"/>
      <c r="V41" s="118"/>
      <c r="W41" s="118"/>
      <c r="X41" s="118"/>
      <c r="Y41" s="118"/>
      <c r="Z41" s="118"/>
      <c r="AA41" s="51"/>
      <c r="AC41" s="50"/>
      <c r="AD41" s="3"/>
      <c r="AE41" s="3"/>
      <c r="AF41" s="3"/>
      <c r="AG41" s="3"/>
      <c r="AH41" s="3"/>
      <c r="AI41" s="3"/>
      <c r="AJ41" s="3"/>
      <c r="AK41" s="3"/>
      <c r="AL41" s="3"/>
      <c r="AM41" s="3"/>
      <c r="AN41" s="62"/>
      <c r="AO41" s="3"/>
    </row>
    <row r="42" spans="2:41" ht="14.25" customHeight="1" x14ac:dyDescent="0.2">
      <c r="B42" s="50"/>
      <c r="C42" s="120" t="s">
        <v>169</v>
      </c>
      <c r="D42" s="120"/>
      <c r="E42" s="120"/>
      <c r="F42" s="120"/>
      <c r="G42" s="120"/>
      <c r="H42" s="120"/>
      <c r="I42" s="120"/>
      <c r="J42" s="120"/>
      <c r="K42" s="120"/>
      <c r="L42" s="120"/>
      <c r="M42" s="120"/>
      <c r="N42" s="51"/>
      <c r="P42" s="50"/>
      <c r="Q42" s="118" t="s">
        <v>177</v>
      </c>
      <c r="R42" s="118"/>
      <c r="S42" s="118"/>
      <c r="T42" s="118"/>
      <c r="U42" s="118"/>
      <c r="V42" s="118"/>
      <c r="W42" s="118"/>
      <c r="X42" s="118"/>
      <c r="Y42" s="118"/>
      <c r="Z42" s="118"/>
      <c r="AA42" s="51"/>
      <c r="AC42" s="50"/>
      <c r="AD42" s="3"/>
      <c r="AE42" s="3"/>
      <c r="AF42" s="3"/>
      <c r="AG42" s="3"/>
      <c r="AH42" s="3"/>
      <c r="AI42" s="3"/>
      <c r="AJ42" s="3"/>
      <c r="AK42" s="3"/>
      <c r="AL42" s="3"/>
      <c r="AM42" s="3"/>
      <c r="AN42" s="62"/>
      <c r="AO42" s="3"/>
    </row>
    <row r="43" spans="2:41" ht="15" customHeight="1" x14ac:dyDescent="0.2">
      <c r="B43" s="50"/>
      <c r="C43" s="120"/>
      <c r="D43" s="120"/>
      <c r="E43" s="120"/>
      <c r="F43" s="120"/>
      <c r="G43" s="120"/>
      <c r="H43" s="120"/>
      <c r="I43" s="120"/>
      <c r="J43" s="120"/>
      <c r="K43" s="120"/>
      <c r="L43" s="120"/>
      <c r="M43" s="120"/>
      <c r="N43" s="51"/>
      <c r="P43" s="50"/>
      <c r="Q43" s="118"/>
      <c r="R43" s="118"/>
      <c r="S43" s="118"/>
      <c r="T43" s="118"/>
      <c r="U43" s="118"/>
      <c r="V43" s="118"/>
      <c r="W43" s="118"/>
      <c r="X43" s="118"/>
      <c r="Y43" s="118"/>
      <c r="Z43" s="118"/>
      <c r="AA43" s="51"/>
      <c r="AC43" s="50"/>
      <c r="AD43" s="3"/>
      <c r="AE43" s="3"/>
      <c r="AF43" s="3"/>
      <c r="AG43" s="3"/>
      <c r="AH43" s="3"/>
      <c r="AI43" s="3"/>
      <c r="AJ43" s="3"/>
      <c r="AK43" s="3"/>
      <c r="AL43" s="3"/>
      <c r="AM43" s="3"/>
      <c r="AN43" s="62"/>
      <c r="AO43" s="3"/>
    </row>
    <row r="44" spans="2:41" ht="15" customHeight="1" x14ac:dyDescent="0.25">
      <c r="B44" s="50"/>
      <c r="C44" s="120" t="s">
        <v>168</v>
      </c>
      <c r="D44" s="120"/>
      <c r="E44" s="120"/>
      <c r="F44" s="120"/>
      <c r="G44" s="120"/>
      <c r="H44" s="120"/>
      <c r="I44" s="120"/>
      <c r="J44" s="120"/>
      <c r="K44" s="120"/>
      <c r="L44" s="120"/>
      <c r="M44" s="120"/>
      <c r="N44" s="51"/>
      <c r="P44" s="50"/>
      <c r="Q44" s="118" t="s">
        <v>178</v>
      </c>
      <c r="R44" s="118"/>
      <c r="S44" s="118"/>
      <c r="T44" s="118"/>
      <c r="U44" s="118"/>
      <c r="V44" s="118"/>
      <c r="W44" s="118"/>
      <c r="X44" s="118"/>
      <c r="Y44" s="118"/>
      <c r="Z44" s="118"/>
      <c r="AA44" s="53"/>
      <c r="AC44" s="50"/>
      <c r="AD44" s="87"/>
      <c r="AE44" s="52"/>
      <c r="AF44" s="52"/>
      <c r="AG44" s="52"/>
      <c r="AH44" s="52"/>
      <c r="AI44" s="52"/>
      <c r="AJ44" s="52"/>
      <c r="AK44" s="52"/>
      <c r="AL44" s="52"/>
      <c r="AM44" s="52"/>
      <c r="AN44" s="53"/>
      <c r="AO44" s="52"/>
    </row>
    <row r="45" spans="2:41" ht="15" x14ac:dyDescent="0.25">
      <c r="B45" s="50"/>
      <c r="C45" s="120"/>
      <c r="D45" s="120"/>
      <c r="E45" s="120"/>
      <c r="F45" s="120"/>
      <c r="G45" s="120"/>
      <c r="H45" s="120"/>
      <c r="I45" s="120"/>
      <c r="J45" s="120"/>
      <c r="K45" s="120"/>
      <c r="L45" s="120"/>
      <c r="M45" s="120"/>
      <c r="N45" s="51"/>
      <c r="P45" s="50"/>
      <c r="Q45" s="118"/>
      <c r="R45" s="118"/>
      <c r="S45" s="118"/>
      <c r="T45" s="118"/>
      <c r="U45" s="118"/>
      <c r="V45" s="118"/>
      <c r="W45" s="118"/>
      <c r="X45" s="118"/>
      <c r="Y45" s="118"/>
      <c r="Z45" s="118"/>
      <c r="AA45" s="53"/>
      <c r="AC45" s="50"/>
      <c r="AD45" s="87"/>
      <c r="AE45" s="52"/>
      <c r="AF45" s="52"/>
      <c r="AG45" s="52"/>
      <c r="AH45" s="52"/>
      <c r="AI45" s="52"/>
      <c r="AJ45" s="52"/>
      <c r="AK45" s="52"/>
      <c r="AL45" s="52"/>
      <c r="AM45" s="52"/>
      <c r="AN45" s="53"/>
      <c r="AO45" s="52"/>
    </row>
    <row r="46" spans="2:41" ht="14.25" customHeight="1" x14ac:dyDescent="0.2">
      <c r="B46" s="50"/>
      <c r="C46" s="3"/>
      <c r="D46" s="90"/>
      <c r="E46" s="90"/>
      <c r="F46" s="90"/>
      <c r="G46" s="90"/>
      <c r="H46" s="90"/>
      <c r="I46" s="90"/>
      <c r="J46" s="90"/>
      <c r="K46" s="90"/>
      <c r="L46" s="90"/>
      <c r="M46" s="90"/>
      <c r="N46" s="51"/>
      <c r="P46" s="50"/>
      <c r="AA46" s="51"/>
      <c r="AC46" s="50"/>
      <c r="AD46" s="3"/>
      <c r="AE46" s="3"/>
      <c r="AF46" s="3"/>
      <c r="AG46" s="3"/>
      <c r="AH46" s="3"/>
      <c r="AI46" s="3"/>
      <c r="AJ46" s="3"/>
      <c r="AK46" s="3"/>
      <c r="AL46" s="3"/>
      <c r="AM46" s="3"/>
      <c r="AN46" s="62"/>
      <c r="AO46" s="3"/>
    </row>
    <row r="47" spans="2:41" ht="15" customHeight="1" x14ac:dyDescent="0.2">
      <c r="B47" s="50"/>
      <c r="C47" s="3"/>
      <c r="D47" s="3"/>
      <c r="E47" s="3"/>
      <c r="F47" s="3"/>
      <c r="G47" s="3"/>
      <c r="H47" s="3"/>
      <c r="I47" s="3"/>
      <c r="J47" s="3"/>
      <c r="K47" s="3"/>
      <c r="L47" s="3"/>
      <c r="M47" s="3"/>
      <c r="N47" s="51"/>
      <c r="P47" s="50"/>
      <c r="AA47" s="51"/>
      <c r="AC47" s="50"/>
      <c r="AD47" s="3"/>
      <c r="AE47" s="3"/>
      <c r="AF47" s="3"/>
      <c r="AG47" s="3"/>
      <c r="AH47" s="3"/>
      <c r="AI47" s="3"/>
      <c r="AJ47" s="3"/>
      <c r="AK47" s="3"/>
      <c r="AL47" s="3"/>
      <c r="AM47" s="3"/>
      <c r="AN47" s="62"/>
      <c r="AO47" s="3"/>
    </row>
    <row r="48" spans="2:41" ht="15" customHeight="1" x14ac:dyDescent="0.2">
      <c r="B48" s="50"/>
      <c r="C48" s="3"/>
      <c r="D48" s="3"/>
      <c r="E48" s="3"/>
      <c r="F48" s="3"/>
      <c r="G48" s="3"/>
      <c r="H48" s="3"/>
      <c r="I48" s="3"/>
      <c r="J48" s="3"/>
      <c r="K48" s="3"/>
      <c r="L48" s="3"/>
      <c r="M48" s="3"/>
      <c r="N48" s="51"/>
      <c r="P48" s="50"/>
      <c r="AA48" s="51"/>
      <c r="AC48" s="50"/>
      <c r="AD48" s="3"/>
      <c r="AE48" s="3"/>
      <c r="AF48" s="3"/>
      <c r="AG48" s="3"/>
      <c r="AH48" s="3"/>
      <c r="AI48" s="3"/>
      <c r="AJ48" s="3"/>
      <c r="AK48" s="3"/>
      <c r="AL48" s="3"/>
      <c r="AM48" s="3"/>
      <c r="AN48" s="62"/>
      <c r="AO48" s="3"/>
    </row>
    <row r="49" spans="2:41" ht="15" customHeight="1" x14ac:dyDescent="0.2">
      <c r="B49" s="50"/>
      <c r="C49" s="3"/>
      <c r="D49" s="3"/>
      <c r="E49" s="3"/>
      <c r="F49" s="3"/>
      <c r="G49" s="3"/>
      <c r="H49" s="3"/>
      <c r="I49" s="3"/>
      <c r="J49" s="3"/>
      <c r="K49" s="3"/>
      <c r="L49" s="3"/>
      <c r="M49" s="3"/>
      <c r="N49" s="51"/>
      <c r="P49" s="50"/>
      <c r="AA49" s="51"/>
      <c r="AC49" s="50"/>
      <c r="AD49" s="3"/>
      <c r="AE49" s="3"/>
      <c r="AF49" s="3"/>
      <c r="AG49" s="3"/>
      <c r="AH49" s="3"/>
      <c r="AI49" s="3"/>
      <c r="AJ49" s="3"/>
      <c r="AK49" s="3"/>
      <c r="AL49" s="3"/>
      <c r="AM49" s="3"/>
      <c r="AN49" s="62"/>
      <c r="AO49" s="3"/>
    </row>
    <row r="50" spans="2:41" ht="15.75" customHeight="1" x14ac:dyDescent="0.2">
      <c r="B50" s="50"/>
      <c r="C50" s="114" t="s">
        <v>38</v>
      </c>
      <c r="D50" s="114"/>
      <c r="E50" s="114"/>
      <c r="F50" s="114"/>
      <c r="G50" s="114"/>
      <c r="H50" s="114"/>
      <c r="I50" s="114"/>
      <c r="J50" s="114"/>
      <c r="K50" s="114"/>
      <c r="L50" s="114"/>
      <c r="M50" s="114"/>
      <c r="N50" s="54"/>
      <c r="P50" s="50"/>
      <c r="Q50" s="114" t="s">
        <v>38</v>
      </c>
      <c r="R50" s="114"/>
      <c r="S50" s="114"/>
      <c r="T50" s="114"/>
      <c r="U50" s="114"/>
      <c r="V50" s="114"/>
      <c r="W50" s="114"/>
      <c r="X50" s="114"/>
      <c r="Y50" s="114"/>
      <c r="Z50" s="114"/>
      <c r="AA50" s="88"/>
      <c r="AB50" s="45"/>
      <c r="AC50" s="50"/>
      <c r="AD50" s="114"/>
      <c r="AE50" s="114"/>
      <c r="AF50" s="114"/>
      <c r="AG50" s="114"/>
      <c r="AH50" s="114"/>
      <c r="AI50" s="114"/>
      <c r="AJ50" s="114"/>
      <c r="AK50" s="114"/>
      <c r="AL50" s="114"/>
      <c r="AM50" s="114"/>
      <c r="AN50" s="88"/>
      <c r="AO50" s="86"/>
    </row>
    <row r="51" spans="2:41" ht="15" x14ac:dyDescent="0.2">
      <c r="B51" s="50"/>
      <c r="C51" s="114"/>
      <c r="D51" s="114"/>
      <c r="E51" s="114"/>
      <c r="F51" s="114"/>
      <c r="G51" s="114"/>
      <c r="H51" s="114"/>
      <c r="I51" s="114"/>
      <c r="J51" s="114"/>
      <c r="K51" s="114"/>
      <c r="L51" s="114"/>
      <c r="M51" s="114"/>
      <c r="N51" s="54"/>
      <c r="P51" s="50"/>
      <c r="Q51" s="114"/>
      <c r="R51" s="114"/>
      <c r="S51" s="114"/>
      <c r="T51" s="114"/>
      <c r="U51" s="114"/>
      <c r="V51" s="114"/>
      <c r="W51" s="114"/>
      <c r="X51" s="114"/>
      <c r="Y51" s="114"/>
      <c r="Z51" s="114"/>
      <c r="AA51" s="88"/>
      <c r="AB51" s="45"/>
      <c r="AC51" s="50"/>
      <c r="AD51" s="114"/>
      <c r="AE51" s="114"/>
      <c r="AF51" s="114"/>
      <c r="AG51" s="114"/>
      <c r="AH51" s="114"/>
      <c r="AI51" s="114"/>
      <c r="AJ51" s="114"/>
      <c r="AK51" s="114"/>
      <c r="AL51" s="114"/>
      <c r="AM51" s="114"/>
      <c r="AN51" s="88"/>
      <c r="AO51" s="86"/>
    </row>
    <row r="52" spans="2:41" ht="15" customHeight="1" x14ac:dyDescent="0.2">
      <c r="B52" s="50"/>
      <c r="C52" s="119" t="s">
        <v>170</v>
      </c>
      <c r="D52" s="119"/>
      <c r="E52" s="119"/>
      <c r="F52" s="119"/>
      <c r="G52" s="119"/>
      <c r="H52" s="119"/>
      <c r="I52" s="119"/>
      <c r="J52" s="119"/>
      <c r="K52" s="119"/>
      <c r="L52" s="119"/>
      <c r="M52" s="119"/>
      <c r="N52" s="51"/>
      <c r="P52" s="50"/>
      <c r="Q52" s="119" t="s">
        <v>179</v>
      </c>
      <c r="R52" s="119"/>
      <c r="S52" s="119"/>
      <c r="T52" s="119"/>
      <c r="U52" s="119"/>
      <c r="V52" s="119"/>
      <c r="W52" s="119"/>
      <c r="X52" s="119"/>
      <c r="Y52" s="119"/>
      <c r="Z52" s="119"/>
      <c r="AA52" s="72"/>
      <c r="AC52" s="50"/>
      <c r="AD52" s="3"/>
      <c r="AE52" s="119"/>
      <c r="AF52" s="119"/>
      <c r="AG52" s="119"/>
      <c r="AH52" s="119"/>
      <c r="AI52" s="119"/>
      <c r="AJ52" s="119"/>
      <c r="AK52" s="119"/>
      <c r="AL52" s="119"/>
      <c r="AM52" s="119"/>
      <c r="AN52" s="72"/>
      <c r="AO52" s="91"/>
    </row>
    <row r="53" spans="2:41" ht="15" customHeight="1" x14ac:dyDescent="0.2">
      <c r="B53" s="50"/>
      <c r="C53" s="119"/>
      <c r="D53" s="119"/>
      <c r="E53" s="119"/>
      <c r="F53" s="119"/>
      <c r="G53" s="119"/>
      <c r="H53" s="119"/>
      <c r="I53" s="119"/>
      <c r="J53" s="119"/>
      <c r="K53" s="119"/>
      <c r="L53" s="119"/>
      <c r="M53" s="119"/>
      <c r="N53" s="51"/>
      <c r="P53" s="50"/>
      <c r="Q53" s="119"/>
      <c r="R53" s="119"/>
      <c r="S53" s="119"/>
      <c r="T53" s="119"/>
      <c r="U53" s="119"/>
      <c r="V53" s="119"/>
      <c r="W53" s="119"/>
      <c r="X53" s="119"/>
      <c r="Y53" s="119"/>
      <c r="Z53" s="119"/>
      <c r="AA53" s="72"/>
      <c r="AC53" s="50"/>
      <c r="AD53" s="3"/>
      <c r="AE53" s="119"/>
      <c r="AF53" s="119"/>
      <c r="AG53" s="119"/>
      <c r="AH53" s="119"/>
      <c r="AI53" s="119"/>
      <c r="AJ53" s="119"/>
      <c r="AK53" s="119"/>
      <c r="AL53" s="119"/>
      <c r="AM53" s="119"/>
      <c r="AN53" s="72"/>
      <c r="AO53" s="91"/>
    </row>
    <row r="54" spans="2:41" ht="15" customHeight="1" x14ac:dyDescent="0.2">
      <c r="B54" s="50"/>
      <c r="C54" s="119" t="s">
        <v>39</v>
      </c>
      <c r="D54" s="119"/>
      <c r="E54" s="119"/>
      <c r="F54" s="119"/>
      <c r="G54" s="119"/>
      <c r="H54" s="119"/>
      <c r="I54" s="119"/>
      <c r="J54" s="119"/>
      <c r="K54" s="119"/>
      <c r="L54" s="119"/>
      <c r="M54" s="119"/>
      <c r="N54" s="51"/>
      <c r="P54" s="50"/>
      <c r="Q54" s="119" t="s">
        <v>180</v>
      </c>
      <c r="R54" s="119"/>
      <c r="S54" s="119"/>
      <c r="T54" s="119"/>
      <c r="U54" s="119"/>
      <c r="V54" s="119"/>
      <c r="W54" s="119"/>
      <c r="X54" s="119"/>
      <c r="Y54" s="119"/>
      <c r="Z54" s="119"/>
      <c r="AA54" s="72"/>
      <c r="AC54" s="50"/>
      <c r="AD54" s="3"/>
      <c r="AE54" s="119"/>
      <c r="AF54" s="119"/>
      <c r="AG54" s="119"/>
      <c r="AH54" s="119"/>
      <c r="AI54" s="119"/>
      <c r="AJ54" s="119"/>
      <c r="AK54" s="119"/>
      <c r="AL54" s="119"/>
      <c r="AM54" s="83"/>
      <c r="AN54" s="72"/>
      <c r="AO54" s="91"/>
    </row>
    <row r="55" spans="2:41" ht="15" customHeight="1" x14ac:dyDescent="0.2">
      <c r="B55" s="50"/>
      <c r="C55" s="119"/>
      <c r="D55" s="119"/>
      <c r="E55" s="119"/>
      <c r="F55" s="119"/>
      <c r="G55" s="119"/>
      <c r="H55" s="119"/>
      <c r="I55" s="119"/>
      <c r="J55" s="119"/>
      <c r="K55" s="119"/>
      <c r="L55" s="119"/>
      <c r="M55" s="119"/>
      <c r="N55" s="51"/>
      <c r="P55" s="50"/>
      <c r="Q55" s="119"/>
      <c r="R55" s="119"/>
      <c r="S55" s="119"/>
      <c r="T55" s="119"/>
      <c r="U55" s="119"/>
      <c r="V55" s="119"/>
      <c r="W55" s="119"/>
      <c r="X55" s="119"/>
      <c r="Y55" s="119"/>
      <c r="Z55" s="119"/>
      <c r="AA55" s="72"/>
      <c r="AC55" s="50"/>
      <c r="AD55" s="3"/>
      <c r="AE55" s="119"/>
      <c r="AF55" s="119"/>
      <c r="AG55" s="119"/>
      <c r="AH55" s="119"/>
      <c r="AI55" s="119"/>
      <c r="AJ55" s="119"/>
      <c r="AK55" s="119"/>
      <c r="AL55" s="119"/>
      <c r="AM55" s="83"/>
      <c r="AN55" s="72"/>
      <c r="AO55" s="91"/>
    </row>
    <row r="56" spans="2:41" ht="15" customHeight="1" x14ac:dyDescent="0.2">
      <c r="B56" s="50"/>
      <c r="C56" s="3"/>
      <c r="D56" s="83"/>
      <c r="E56" s="83"/>
      <c r="F56" s="83"/>
      <c r="G56" s="83"/>
      <c r="H56" s="83"/>
      <c r="I56" s="83"/>
      <c r="J56" s="83"/>
      <c r="K56" s="83"/>
      <c r="L56" s="83"/>
      <c r="M56" s="83"/>
      <c r="N56" s="51"/>
      <c r="P56" s="50"/>
      <c r="Q56" s="3"/>
      <c r="R56" s="83"/>
      <c r="S56" s="83"/>
      <c r="T56" s="83"/>
      <c r="U56" s="83"/>
      <c r="V56" s="83"/>
      <c r="W56" s="83"/>
      <c r="X56" s="83"/>
      <c r="Y56" s="83"/>
      <c r="Z56" s="83"/>
      <c r="AA56" s="72"/>
      <c r="AC56" s="50"/>
      <c r="AD56" s="3"/>
      <c r="AE56" s="83"/>
      <c r="AF56" s="83"/>
      <c r="AG56" s="83"/>
      <c r="AH56" s="83"/>
      <c r="AI56" s="83"/>
      <c r="AJ56" s="83"/>
      <c r="AK56" s="83"/>
      <c r="AL56" s="83"/>
      <c r="AM56" s="83"/>
      <c r="AN56" s="72"/>
      <c r="AO56" s="91"/>
    </row>
    <row r="57" spans="2:41" ht="15" customHeight="1" x14ac:dyDescent="0.2">
      <c r="B57" s="50"/>
      <c r="C57" s="3"/>
      <c r="D57" s="3"/>
      <c r="E57" s="3"/>
      <c r="F57" s="3"/>
      <c r="G57" s="3"/>
      <c r="H57" s="3"/>
      <c r="I57" s="3"/>
      <c r="J57" s="3"/>
      <c r="K57" s="3"/>
      <c r="L57" s="3"/>
      <c r="M57" s="3"/>
      <c r="N57" s="51"/>
      <c r="P57" s="50"/>
      <c r="Q57" s="3"/>
      <c r="R57" s="3"/>
      <c r="S57" s="3"/>
      <c r="T57" s="3"/>
      <c r="U57" s="3"/>
      <c r="V57" s="3"/>
      <c r="W57" s="3"/>
      <c r="X57" s="3"/>
      <c r="Y57" s="3"/>
      <c r="Z57" s="3"/>
      <c r="AA57" s="62"/>
      <c r="AC57" s="50"/>
      <c r="AD57" s="3"/>
      <c r="AE57" s="3"/>
      <c r="AF57" s="3"/>
      <c r="AG57" s="3"/>
      <c r="AH57" s="3"/>
      <c r="AI57" s="3"/>
      <c r="AJ57" s="3"/>
      <c r="AK57" s="3"/>
      <c r="AL57" s="3"/>
      <c r="AM57" s="3"/>
      <c r="AN57" s="62"/>
      <c r="AO57" s="3"/>
    </row>
    <row r="58" spans="2:41" ht="15" customHeight="1" x14ac:dyDescent="0.2">
      <c r="B58" s="50"/>
      <c r="C58" s="3"/>
      <c r="D58" s="3"/>
      <c r="E58" s="3"/>
      <c r="F58" s="3"/>
      <c r="G58" s="3"/>
      <c r="H58" s="3"/>
      <c r="I58" s="3"/>
      <c r="J58" s="3"/>
      <c r="K58" s="3"/>
      <c r="L58" s="3"/>
      <c r="M58" s="3"/>
      <c r="N58" s="51"/>
      <c r="P58" s="50"/>
      <c r="Q58" s="3"/>
      <c r="R58" s="3"/>
      <c r="S58" s="3"/>
      <c r="T58" s="3"/>
      <c r="U58" s="3"/>
      <c r="V58" s="3"/>
      <c r="W58" s="3"/>
      <c r="X58" s="3"/>
      <c r="Y58" s="3"/>
      <c r="Z58" s="3"/>
      <c r="AA58" s="62"/>
      <c r="AC58" s="50"/>
      <c r="AD58" s="3"/>
      <c r="AE58" s="3"/>
      <c r="AF58" s="3"/>
      <c r="AG58" s="3"/>
      <c r="AH58" s="3"/>
      <c r="AI58" s="3"/>
      <c r="AJ58" s="3"/>
      <c r="AK58" s="3"/>
      <c r="AL58" s="3"/>
      <c r="AM58" s="3"/>
      <c r="AN58" s="62"/>
      <c r="AO58" s="3"/>
    </row>
    <row r="59" spans="2:41" ht="15" customHeight="1" x14ac:dyDescent="0.2">
      <c r="B59" s="50"/>
      <c r="C59" s="3"/>
      <c r="D59" s="3"/>
      <c r="E59" s="3"/>
      <c r="F59" s="3"/>
      <c r="G59" s="3"/>
      <c r="H59" s="3"/>
      <c r="I59" s="3"/>
      <c r="J59" s="3"/>
      <c r="K59" s="3"/>
      <c r="L59" s="3"/>
      <c r="M59" s="3"/>
      <c r="N59" s="51"/>
      <c r="P59" s="50"/>
      <c r="Q59" s="3"/>
      <c r="R59" s="3"/>
      <c r="S59" s="3"/>
      <c r="T59" s="3"/>
      <c r="U59" s="3"/>
      <c r="V59" s="3"/>
      <c r="W59" s="3"/>
      <c r="X59" s="3"/>
      <c r="Y59" s="3"/>
      <c r="Z59" s="3"/>
      <c r="AA59" s="62"/>
      <c r="AC59" s="50"/>
      <c r="AD59" s="3"/>
      <c r="AE59" s="3"/>
      <c r="AF59" s="3"/>
      <c r="AG59" s="3"/>
      <c r="AH59" s="3"/>
      <c r="AI59" s="3"/>
      <c r="AJ59" s="3"/>
      <c r="AK59" s="3"/>
      <c r="AL59" s="3"/>
      <c r="AM59" s="3"/>
      <c r="AN59" s="62"/>
      <c r="AO59" s="3"/>
    </row>
    <row r="60" spans="2:41" ht="15" customHeight="1" x14ac:dyDescent="0.25">
      <c r="B60" s="50"/>
      <c r="C60" s="121" t="s">
        <v>171</v>
      </c>
      <c r="D60" s="121"/>
      <c r="E60" s="121"/>
      <c r="F60" s="121"/>
      <c r="G60" s="121"/>
      <c r="H60" s="121"/>
      <c r="I60" s="121"/>
      <c r="J60" s="121"/>
      <c r="K60" s="121"/>
      <c r="L60" s="121"/>
      <c r="M60" s="121"/>
      <c r="N60" s="51"/>
      <c r="P60" s="50"/>
      <c r="Q60" s="121" t="s">
        <v>40</v>
      </c>
      <c r="R60" s="121"/>
      <c r="S60" s="121"/>
      <c r="T60" s="121"/>
      <c r="U60" s="121"/>
      <c r="V60" s="121"/>
      <c r="W60" s="121"/>
      <c r="X60" s="121"/>
      <c r="Y60" s="121"/>
      <c r="Z60" s="121"/>
      <c r="AA60" s="73"/>
      <c r="AC60" s="50"/>
      <c r="AD60" s="121"/>
      <c r="AE60" s="121"/>
      <c r="AF60" s="121"/>
      <c r="AG60" s="121"/>
      <c r="AH60" s="121"/>
      <c r="AI60" s="121"/>
      <c r="AJ60" s="121"/>
      <c r="AK60" s="121"/>
      <c r="AL60" s="121"/>
      <c r="AM60" s="121"/>
      <c r="AN60" s="62"/>
      <c r="AO60" s="3"/>
    </row>
    <row r="61" spans="2:41" ht="15" customHeight="1" x14ac:dyDescent="0.25">
      <c r="B61" s="50"/>
      <c r="C61" s="119" t="s">
        <v>172</v>
      </c>
      <c r="D61" s="119"/>
      <c r="E61" s="119"/>
      <c r="F61" s="119"/>
      <c r="G61" s="119"/>
      <c r="H61" s="119"/>
      <c r="I61" s="119"/>
      <c r="J61" s="119"/>
      <c r="K61" s="119"/>
      <c r="L61" s="119"/>
      <c r="M61" s="119"/>
      <c r="N61" s="51"/>
      <c r="P61" s="50"/>
      <c r="Q61" s="119" t="s">
        <v>181</v>
      </c>
      <c r="R61" s="119"/>
      <c r="S61" s="119"/>
      <c r="T61" s="119"/>
      <c r="U61" s="119"/>
      <c r="V61" s="119"/>
      <c r="W61" s="119"/>
      <c r="X61" s="119"/>
      <c r="Y61" s="119"/>
      <c r="Z61" s="119"/>
      <c r="AA61" s="73"/>
      <c r="AC61" s="50"/>
      <c r="AD61" s="85"/>
      <c r="AE61" s="85"/>
      <c r="AF61" s="85"/>
      <c r="AG61" s="85"/>
      <c r="AH61" s="85"/>
      <c r="AI61" s="85"/>
      <c r="AJ61" s="85"/>
      <c r="AK61" s="85"/>
      <c r="AL61" s="85"/>
      <c r="AM61" s="85"/>
      <c r="AN61" s="62"/>
      <c r="AO61" s="3"/>
    </row>
    <row r="62" spans="2:41" ht="15" customHeight="1" x14ac:dyDescent="0.2">
      <c r="B62" s="50"/>
      <c r="C62" s="119"/>
      <c r="D62" s="119"/>
      <c r="E62" s="119"/>
      <c r="F62" s="119"/>
      <c r="G62" s="119"/>
      <c r="H62" s="119"/>
      <c r="I62" s="119"/>
      <c r="J62" s="119"/>
      <c r="K62" s="119"/>
      <c r="L62" s="119"/>
      <c r="M62" s="119"/>
      <c r="N62" s="51"/>
      <c r="P62" s="50"/>
      <c r="Q62" s="119"/>
      <c r="R62" s="119"/>
      <c r="S62" s="119"/>
      <c r="T62" s="119"/>
      <c r="U62" s="119"/>
      <c r="V62" s="119"/>
      <c r="W62" s="119"/>
      <c r="X62" s="119"/>
      <c r="Y62" s="119"/>
      <c r="Z62" s="119"/>
      <c r="AA62" s="62"/>
      <c r="AC62" s="50"/>
      <c r="AD62" s="122"/>
      <c r="AE62" s="122"/>
      <c r="AF62" s="122"/>
      <c r="AG62" s="122"/>
      <c r="AH62" s="122"/>
      <c r="AI62" s="122"/>
      <c r="AJ62" s="122"/>
      <c r="AK62" s="122"/>
      <c r="AL62" s="122"/>
      <c r="AM62" s="122"/>
      <c r="AN62" s="62"/>
      <c r="AO62" s="3"/>
    </row>
    <row r="63" spans="2:41" ht="15" customHeight="1" x14ac:dyDescent="0.2">
      <c r="B63" s="50"/>
      <c r="C63" s="119" t="s">
        <v>173</v>
      </c>
      <c r="D63" s="119"/>
      <c r="E63" s="119"/>
      <c r="F63" s="119"/>
      <c r="G63" s="119"/>
      <c r="H63" s="119"/>
      <c r="I63" s="119"/>
      <c r="J63" s="119"/>
      <c r="K63" s="119"/>
      <c r="L63" s="119"/>
      <c r="M63" s="119"/>
      <c r="N63" s="51"/>
      <c r="P63" s="50"/>
      <c r="Q63" s="83"/>
      <c r="R63" s="83"/>
      <c r="S63" s="83"/>
      <c r="T63" s="83"/>
      <c r="U63" s="83"/>
      <c r="V63" s="83"/>
      <c r="W63" s="83"/>
      <c r="X63" s="83"/>
      <c r="Y63" s="83"/>
      <c r="Z63" s="83"/>
      <c r="AA63" s="62"/>
      <c r="AC63" s="50"/>
      <c r="AD63" s="3"/>
      <c r="AE63" s="91"/>
      <c r="AF63" s="3"/>
      <c r="AG63" s="3"/>
      <c r="AH63" s="3"/>
      <c r="AI63" s="3"/>
      <c r="AJ63" s="3"/>
      <c r="AK63" s="3"/>
      <c r="AL63" s="3"/>
      <c r="AM63" s="3"/>
      <c r="AN63" s="62"/>
      <c r="AO63" s="3"/>
    </row>
    <row r="64" spans="2:41" ht="15" x14ac:dyDescent="0.2">
      <c r="B64" s="50"/>
      <c r="C64" s="119"/>
      <c r="D64" s="119"/>
      <c r="E64" s="119"/>
      <c r="F64" s="119"/>
      <c r="G64" s="119"/>
      <c r="H64" s="119"/>
      <c r="I64" s="119"/>
      <c r="J64" s="119"/>
      <c r="K64" s="119"/>
      <c r="L64" s="119"/>
      <c r="M64" s="119"/>
      <c r="N64" s="51"/>
      <c r="P64" s="50"/>
      <c r="Q64" s="83"/>
      <c r="R64" s="83"/>
      <c r="S64" s="83"/>
      <c r="T64" s="83"/>
      <c r="U64" s="83"/>
      <c r="V64" s="83"/>
      <c r="W64" s="83"/>
      <c r="X64" s="83"/>
      <c r="Y64" s="83"/>
      <c r="Z64" s="83"/>
      <c r="AA64" s="62"/>
      <c r="AC64" s="50"/>
      <c r="AD64" s="3"/>
      <c r="AE64" s="91"/>
      <c r="AF64" s="3"/>
      <c r="AG64" s="3"/>
      <c r="AH64" s="3"/>
      <c r="AI64" s="3"/>
      <c r="AJ64" s="3"/>
      <c r="AK64" s="3"/>
      <c r="AL64" s="3"/>
      <c r="AM64" s="3"/>
      <c r="AN64" s="62"/>
      <c r="AO64" s="3"/>
    </row>
    <row r="65" spans="2:41" ht="15" x14ac:dyDescent="0.2">
      <c r="B65" s="50"/>
      <c r="C65" s="3"/>
      <c r="D65" s="119"/>
      <c r="E65" s="119"/>
      <c r="F65" s="119"/>
      <c r="G65" s="119"/>
      <c r="H65" s="119"/>
      <c r="I65" s="119"/>
      <c r="J65" s="119"/>
      <c r="K65" s="119"/>
      <c r="L65" s="119"/>
      <c r="M65" s="119"/>
      <c r="N65" s="51"/>
      <c r="P65" s="50"/>
      <c r="Q65" s="3"/>
      <c r="R65" s="91"/>
      <c r="S65" s="3"/>
      <c r="T65" s="3"/>
      <c r="U65" s="3"/>
      <c r="V65" s="3"/>
      <c r="W65" s="3"/>
      <c r="X65" s="3"/>
      <c r="Y65" s="3"/>
      <c r="Z65" s="3"/>
      <c r="AA65" s="62"/>
      <c r="AC65" s="50"/>
      <c r="AD65" s="3"/>
      <c r="AE65" s="91"/>
      <c r="AF65" s="3"/>
      <c r="AG65" s="3"/>
      <c r="AH65" s="3"/>
      <c r="AI65" s="3"/>
      <c r="AJ65" s="3"/>
      <c r="AK65" s="3"/>
      <c r="AL65" s="3"/>
      <c r="AM65" s="3"/>
      <c r="AN65" s="62"/>
      <c r="AO65" s="3"/>
    </row>
    <row r="66" spans="2:41" x14ac:dyDescent="0.2">
      <c r="B66" s="50"/>
      <c r="C66" s="3"/>
      <c r="D66" s="3"/>
      <c r="E66" s="3"/>
      <c r="F66" s="3"/>
      <c r="G66" s="3"/>
      <c r="H66" s="3"/>
      <c r="I66" s="3"/>
      <c r="J66" s="3"/>
      <c r="K66" s="3"/>
      <c r="L66" s="3"/>
      <c r="M66" s="3"/>
      <c r="N66" s="51"/>
      <c r="P66" s="50"/>
      <c r="Q66" s="3"/>
      <c r="R66" s="3"/>
      <c r="S66" s="3"/>
      <c r="T66" s="3"/>
      <c r="U66" s="3"/>
      <c r="V66" s="3"/>
      <c r="W66" s="3"/>
      <c r="X66" s="3"/>
      <c r="Y66" s="3"/>
      <c r="Z66" s="3"/>
      <c r="AA66" s="62"/>
      <c r="AC66" s="50"/>
      <c r="AD66" s="3"/>
      <c r="AE66" s="3"/>
      <c r="AF66" s="3"/>
      <c r="AG66" s="3"/>
      <c r="AH66" s="3"/>
      <c r="AI66" s="3"/>
      <c r="AJ66" s="3"/>
      <c r="AK66" s="3"/>
      <c r="AL66" s="3"/>
      <c r="AM66" s="3"/>
      <c r="AN66" s="62"/>
      <c r="AO66" s="3"/>
    </row>
    <row r="67" spans="2:41" x14ac:dyDescent="0.2">
      <c r="B67" s="50"/>
      <c r="C67" s="3"/>
      <c r="D67" s="3"/>
      <c r="E67" s="3"/>
      <c r="F67" s="3"/>
      <c r="G67" s="3"/>
      <c r="H67" s="3"/>
      <c r="I67" s="3"/>
      <c r="J67" s="3"/>
      <c r="K67" s="3"/>
      <c r="L67" s="3"/>
      <c r="M67" s="3"/>
      <c r="N67" s="51"/>
      <c r="P67" s="50"/>
      <c r="Q67" s="3"/>
      <c r="R67" s="3"/>
      <c r="S67" s="3"/>
      <c r="T67" s="3"/>
      <c r="U67" s="3"/>
      <c r="V67" s="3"/>
      <c r="W67" s="3"/>
      <c r="X67" s="3"/>
      <c r="Y67" s="3"/>
      <c r="Z67" s="3"/>
      <c r="AA67" s="62"/>
      <c r="AC67" s="50"/>
      <c r="AD67" s="3"/>
      <c r="AE67" s="3"/>
      <c r="AF67" s="3"/>
      <c r="AG67" s="3"/>
      <c r="AH67" s="3"/>
      <c r="AI67" s="3"/>
      <c r="AJ67" s="3"/>
      <c r="AK67" s="3"/>
      <c r="AL67" s="3"/>
      <c r="AM67" s="3"/>
      <c r="AN67" s="62"/>
      <c r="AO67" s="3"/>
    </row>
    <row r="68" spans="2:41" x14ac:dyDescent="0.2">
      <c r="B68" s="50"/>
      <c r="C68" s="3"/>
      <c r="D68" s="3"/>
      <c r="E68" s="3"/>
      <c r="F68" s="3"/>
      <c r="G68" s="3"/>
      <c r="H68" s="3"/>
      <c r="I68" s="3"/>
      <c r="J68" s="3"/>
      <c r="K68" s="3"/>
      <c r="L68" s="3"/>
      <c r="M68" s="3"/>
      <c r="N68" s="51"/>
      <c r="P68" s="50"/>
      <c r="Q68" s="3"/>
      <c r="R68" s="3"/>
      <c r="S68" s="3"/>
      <c r="T68" s="3"/>
      <c r="U68" s="3"/>
      <c r="V68" s="3"/>
      <c r="W68" s="3"/>
      <c r="X68" s="3"/>
      <c r="Y68" s="3"/>
      <c r="Z68" s="3"/>
      <c r="AA68" s="62"/>
      <c r="AC68" s="50"/>
      <c r="AD68" s="3"/>
      <c r="AE68" s="3"/>
      <c r="AF68" s="3"/>
      <c r="AG68" s="3"/>
      <c r="AH68" s="3"/>
      <c r="AI68" s="3"/>
      <c r="AJ68" s="3"/>
      <c r="AK68" s="3"/>
      <c r="AL68" s="3"/>
      <c r="AM68" s="3"/>
      <c r="AN68" s="62"/>
      <c r="AO68" s="3"/>
    </row>
    <row r="69" spans="2:41" ht="15" customHeight="1" x14ac:dyDescent="0.25">
      <c r="B69" s="50"/>
      <c r="C69" s="121" t="s">
        <v>41</v>
      </c>
      <c r="D69" s="121"/>
      <c r="E69" s="121"/>
      <c r="F69" s="121"/>
      <c r="G69" s="121"/>
      <c r="H69" s="121"/>
      <c r="I69" s="121"/>
      <c r="J69" s="121"/>
      <c r="K69" s="121"/>
      <c r="L69" s="121"/>
      <c r="M69" s="121"/>
      <c r="N69" s="51"/>
      <c r="P69" s="50"/>
      <c r="Q69" s="121" t="s">
        <v>42</v>
      </c>
      <c r="R69" s="121"/>
      <c r="S69" s="121"/>
      <c r="T69" s="121"/>
      <c r="U69" s="121"/>
      <c r="V69" s="121"/>
      <c r="W69" s="121"/>
      <c r="X69" s="121"/>
      <c r="Y69" s="121"/>
      <c r="Z69" s="121"/>
      <c r="AA69" s="123"/>
      <c r="AC69" s="50"/>
      <c r="AD69" s="121"/>
      <c r="AE69" s="121"/>
      <c r="AF69" s="121"/>
      <c r="AG69" s="121"/>
      <c r="AH69" s="121"/>
      <c r="AI69" s="121"/>
      <c r="AJ69" s="121"/>
      <c r="AK69" s="121"/>
      <c r="AL69" s="121"/>
      <c r="AM69" s="121"/>
      <c r="AN69" s="123"/>
      <c r="AO69" s="85"/>
    </row>
    <row r="70" spans="2:41" ht="15" customHeight="1" x14ac:dyDescent="0.2">
      <c r="B70" s="50"/>
      <c r="C70" s="119" t="s">
        <v>174</v>
      </c>
      <c r="D70" s="119"/>
      <c r="E70" s="119"/>
      <c r="F70" s="119"/>
      <c r="G70" s="119"/>
      <c r="H70" s="119"/>
      <c r="I70" s="119"/>
      <c r="J70" s="119"/>
      <c r="K70" s="119"/>
      <c r="L70" s="119"/>
      <c r="M70" s="119"/>
      <c r="N70" s="51"/>
      <c r="P70" s="50"/>
      <c r="Q70" s="119" t="s">
        <v>182</v>
      </c>
      <c r="R70" s="119"/>
      <c r="S70" s="119"/>
      <c r="T70" s="119"/>
      <c r="U70" s="119"/>
      <c r="V70" s="119"/>
      <c r="W70" s="119"/>
      <c r="X70" s="119"/>
      <c r="Y70" s="119"/>
      <c r="Z70" s="119"/>
      <c r="AA70" s="62"/>
      <c r="AC70" s="50"/>
      <c r="AD70" s="3"/>
      <c r="AE70" s="119"/>
      <c r="AF70" s="119"/>
      <c r="AG70" s="119"/>
      <c r="AH70" s="119"/>
      <c r="AI70" s="119"/>
      <c r="AJ70" s="119"/>
      <c r="AK70" s="119"/>
      <c r="AL70" s="119"/>
      <c r="AM70" s="119"/>
      <c r="AN70" s="62"/>
      <c r="AO70" s="3"/>
    </row>
    <row r="71" spans="2:41" ht="15" customHeight="1" x14ac:dyDescent="0.2">
      <c r="B71" s="50"/>
      <c r="C71" s="119"/>
      <c r="D71" s="119"/>
      <c r="E71" s="119"/>
      <c r="F71" s="119"/>
      <c r="G71" s="119"/>
      <c r="H71" s="119"/>
      <c r="I71" s="119"/>
      <c r="J71" s="119"/>
      <c r="K71" s="119"/>
      <c r="L71" s="119"/>
      <c r="M71" s="119"/>
      <c r="N71" s="51"/>
      <c r="P71" s="50"/>
      <c r="Q71" s="119"/>
      <c r="R71" s="119"/>
      <c r="S71" s="119"/>
      <c r="T71" s="119"/>
      <c r="U71" s="119"/>
      <c r="V71" s="119"/>
      <c r="W71" s="119"/>
      <c r="X71" s="119"/>
      <c r="Y71" s="119"/>
      <c r="Z71" s="119"/>
      <c r="AA71" s="62"/>
      <c r="AC71" s="50"/>
      <c r="AD71" s="3"/>
      <c r="AE71" s="119"/>
      <c r="AF71" s="119"/>
      <c r="AG71" s="119"/>
      <c r="AH71" s="119"/>
      <c r="AI71" s="119"/>
      <c r="AJ71" s="119"/>
      <c r="AK71" s="119"/>
      <c r="AL71" s="119"/>
      <c r="AM71" s="119"/>
      <c r="AN71" s="62"/>
      <c r="AO71" s="3"/>
    </row>
    <row r="72" spans="2:41" ht="15" customHeight="1" x14ac:dyDescent="0.2">
      <c r="B72" s="50"/>
      <c r="C72" s="119" t="s">
        <v>175</v>
      </c>
      <c r="D72" s="119"/>
      <c r="E72" s="119"/>
      <c r="F72" s="119"/>
      <c r="G72" s="119"/>
      <c r="H72" s="119"/>
      <c r="I72" s="119"/>
      <c r="J72" s="119"/>
      <c r="K72" s="119"/>
      <c r="L72" s="119"/>
      <c r="M72" s="119"/>
      <c r="N72" s="51"/>
      <c r="P72" s="50"/>
      <c r="Q72" s="119"/>
      <c r="R72" s="119"/>
      <c r="S72" s="119"/>
      <c r="T72" s="119"/>
      <c r="U72" s="119"/>
      <c r="V72" s="119"/>
      <c r="W72" s="119"/>
      <c r="X72" s="119"/>
      <c r="Y72" s="119"/>
      <c r="Z72" s="119"/>
      <c r="AA72" s="62"/>
      <c r="AC72" s="50"/>
      <c r="AD72" s="3"/>
      <c r="AE72" s="119"/>
      <c r="AF72" s="119"/>
      <c r="AG72" s="119"/>
      <c r="AH72" s="119"/>
      <c r="AI72" s="119"/>
      <c r="AJ72" s="119"/>
      <c r="AK72" s="119"/>
      <c r="AL72" s="119"/>
      <c r="AM72" s="119"/>
      <c r="AN72" s="62"/>
      <c r="AO72" s="3"/>
    </row>
    <row r="73" spans="2:41" ht="15" x14ac:dyDescent="0.2">
      <c r="B73" s="50"/>
      <c r="C73" s="119"/>
      <c r="D73" s="119"/>
      <c r="E73" s="119"/>
      <c r="F73" s="119"/>
      <c r="G73" s="119"/>
      <c r="H73" s="119"/>
      <c r="I73" s="119"/>
      <c r="J73" s="119"/>
      <c r="K73" s="119"/>
      <c r="L73" s="119"/>
      <c r="M73" s="119"/>
      <c r="N73" s="51"/>
      <c r="P73" s="50"/>
      <c r="R73" s="66"/>
      <c r="S73" s="66"/>
      <c r="T73" s="66"/>
      <c r="U73" s="66"/>
      <c r="V73" s="66"/>
      <c r="W73" s="66"/>
      <c r="X73" s="66"/>
      <c r="Y73" s="66"/>
      <c r="Z73" s="66"/>
      <c r="AA73" s="51"/>
      <c r="AC73" s="50"/>
      <c r="AD73" s="3"/>
      <c r="AE73" s="83"/>
      <c r="AF73" s="83"/>
      <c r="AG73" s="83"/>
      <c r="AH73" s="83"/>
      <c r="AI73" s="83"/>
      <c r="AJ73" s="83"/>
      <c r="AK73" s="83"/>
      <c r="AL73" s="83"/>
      <c r="AM73" s="83"/>
      <c r="AN73" s="62"/>
      <c r="AO73" s="3"/>
    </row>
    <row r="74" spans="2:41" ht="15" customHeight="1" x14ac:dyDescent="0.2">
      <c r="B74" s="50"/>
      <c r="C74" s="119"/>
      <c r="D74" s="119"/>
      <c r="E74" s="119"/>
      <c r="F74" s="119"/>
      <c r="G74" s="119"/>
      <c r="H74" s="119"/>
      <c r="I74" s="119"/>
      <c r="J74" s="119"/>
      <c r="K74" s="119"/>
      <c r="L74" s="119"/>
      <c r="M74" s="119"/>
      <c r="N74" s="51"/>
      <c r="P74" s="50"/>
      <c r="R74" s="66"/>
      <c r="S74" s="66"/>
      <c r="T74" s="66"/>
      <c r="U74" s="66"/>
      <c r="V74" s="66"/>
      <c r="W74" s="66"/>
      <c r="X74" s="66"/>
      <c r="Y74" s="66"/>
      <c r="Z74" s="66"/>
      <c r="AA74" s="51"/>
      <c r="AC74" s="50"/>
      <c r="AD74" s="3"/>
      <c r="AE74" s="83"/>
      <c r="AF74" s="83"/>
      <c r="AG74" s="83"/>
      <c r="AH74" s="83"/>
      <c r="AI74" s="83"/>
      <c r="AJ74" s="83"/>
      <c r="AK74" s="83"/>
      <c r="AL74" s="83"/>
      <c r="AM74" s="83"/>
      <c r="AN74" s="62"/>
      <c r="AO74" s="3"/>
    </row>
    <row r="75" spans="2:41" ht="15" x14ac:dyDescent="0.2">
      <c r="B75" s="50"/>
      <c r="C75" s="119"/>
      <c r="D75" s="119"/>
      <c r="E75" s="119"/>
      <c r="F75" s="119"/>
      <c r="G75" s="119"/>
      <c r="H75" s="119"/>
      <c r="I75" s="119"/>
      <c r="J75" s="119"/>
      <c r="K75" s="119"/>
      <c r="L75" s="119"/>
      <c r="M75" s="119"/>
      <c r="N75" s="51"/>
      <c r="P75" s="50"/>
      <c r="R75" s="66"/>
      <c r="S75" s="66"/>
      <c r="T75" s="66"/>
      <c r="U75" s="66"/>
      <c r="V75" s="66"/>
      <c r="W75" s="66"/>
      <c r="X75" s="66"/>
      <c r="Y75" s="66"/>
      <c r="Z75" s="66"/>
      <c r="AA75" s="51"/>
      <c r="AC75" s="50"/>
      <c r="AD75" s="3"/>
      <c r="AE75" s="83"/>
      <c r="AF75" s="83"/>
      <c r="AG75" s="83"/>
      <c r="AH75" s="83"/>
      <c r="AI75" s="83"/>
      <c r="AJ75" s="83"/>
      <c r="AK75" s="83"/>
      <c r="AL75" s="83"/>
      <c r="AM75" s="83"/>
      <c r="AN75" s="62"/>
      <c r="AO75" s="3"/>
    </row>
    <row r="76" spans="2:41" ht="15.75" thickBot="1" x14ac:dyDescent="0.25">
      <c r="B76" s="55"/>
      <c r="C76" s="56"/>
      <c r="D76" s="56"/>
      <c r="E76" s="56"/>
      <c r="F76" s="56"/>
      <c r="G76" s="56"/>
      <c r="H76" s="56"/>
      <c r="I76" s="56"/>
      <c r="J76" s="56"/>
      <c r="K76" s="56"/>
      <c r="L76" s="56"/>
      <c r="M76" s="56"/>
      <c r="N76" s="58"/>
      <c r="P76" s="55"/>
      <c r="Q76" s="56"/>
      <c r="R76" s="57"/>
      <c r="S76" s="57"/>
      <c r="T76" s="57"/>
      <c r="U76" s="57"/>
      <c r="V76" s="57"/>
      <c r="W76" s="57"/>
      <c r="X76" s="57"/>
      <c r="Y76" s="57"/>
      <c r="Z76" s="57"/>
      <c r="AA76" s="59"/>
      <c r="AC76" s="55"/>
      <c r="AD76" s="56"/>
      <c r="AE76" s="57"/>
      <c r="AF76" s="57"/>
      <c r="AG76" s="57"/>
      <c r="AH76" s="57"/>
      <c r="AI76" s="57"/>
      <c r="AJ76" s="57"/>
      <c r="AK76" s="57"/>
      <c r="AL76" s="57"/>
      <c r="AM76" s="57"/>
      <c r="AN76" s="59"/>
      <c r="AO76" s="79"/>
    </row>
    <row r="77" spans="2:41" ht="15" x14ac:dyDescent="0.2">
      <c r="D77" s="44"/>
      <c r="R77" s="44"/>
    </row>
    <row r="78" spans="2:41" ht="15" x14ac:dyDescent="0.2">
      <c r="D78" s="44"/>
      <c r="R78" s="44"/>
    </row>
    <row r="79" spans="2:41" ht="15" x14ac:dyDescent="0.2">
      <c r="D79" s="44"/>
      <c r="R79" s="44"/>
    </row>
    <row r="80" spans="2:41" ht="15" x14ac:dyDescent="0.2">
      <c r="D80" s="44"/>
      <c r="R80" s="44"/>
    </row>
    <row r="81" spans="4:31" ht="15" x14ac:dyDescent="0.2">
      <c r="D81" s="44"/>
      <c r="R81" s="44"/>
    </row>
    <row r="82" spans="4:31" ht="15.75" thickBot="1" x14ac:dyDescent="0.25">
      <c r="D82" s="44"/>
      <c r="W82" s="44"/>
    </row>
    <row r="83" spans="4:31" s="6" customFormat="1" ht="18.75" x14ac:dyDescent="0.25">
      <c r="K83" s="78"/>
      <c r="L83" s="76"/>
      <c r="M83" s="76"/>
      <c r="N83" s="76"/>
      <c r="O83" s="60"/>
      <c r="P83" s="60"/>
      <c r="Q83" s="60"/>
      <c r="R83" s="60"/>
      <c r="S83" s="60"/>
      <c r="T83" s="60"/>
      <c r="U83" s="60"/>
      <c r="V83" s="60"/>
      <c r="W83" s="60"/>
      <c r="X83" s="60"/>
      <c r="Y83" s="60"/>
      <c r="Z83" s="60"/>
      <c r="AA83" s="60"/>
      <c r="AB83" s="60"/>
      <c r="AC83" s="60"/>
      <c r="AD83" s="60"/>
      <c r="AE83" s="77"/>
    </row>
    <row r="84" spans="4:31" ht="15" x14ac:dyDescent="0.2">
      <c r="K84" s="51"/>
      <c r="O84" s="3"/>
      <c r="P84" s="86"/>
      <c r="Q84" s="86"/>
      <c r="R84" s="86"/>
      <c r="S84" s="86"/>
      <c r="T84" s="86"/>
      <c r="U84" s="86"/>
      <c r="V84" s="86"/>
      <c r="W84" s="86"/>
      <c r="X84" s="86"/>
      <c r="Y84" s="86"/>
      <c r="Z84" s="86"/>
      <c r="AA84" s="86"/>
      <c r="AB84" s="86"/>
      <c r="AC84" s="3"/>
      <c r="AE84" s="51"/>
    </row>
    <row r="85" spans="4:31" ht="15" x14ac:dyDescent="0.25">
      <c r="K85" s="51"/>
      <c r="O85" s="3"/>
      <c r="P85" s="4"/>
      <c r="Q85" s="85"/>
      <c r="R85" s="85"/>
      <c r="S85" s="85"/>
      <c r="T85" s="85"/>
      <c r="U85" s="85"/>
      <c r="V85" s="85"/>
      <c r="W85" s="85"/>
      <c r="X85" s="85"/>
      <c r="Y85" s="85"/>
      <c r="Z85" s="85"/>
      <c r="AA85" s="85"/>
      <c r="AB85" s="3"/>
      <c r="AC85" s="3"/>
      <c r="AE85" s="51"/>
    </row>
    <row r="86" spans="4:31" ht="15" x14ac:dyDescent="0.25">
      <c r="K86" s="51"/>
      <c r="O86" s="3"/>
      <c r="P86" s="4"/>
      <c r="Q86" s="85"/>
      <c r="R86" s="85"/>
      <c r="S86" s="85"/>
      <c r="T86" s="85"/>
      <c r="U86" s="85"/>
      <c r="V86" s="85"/>
      <c r="W86" s="85"/>
      <c r="X86" s="85"/>
      <c r="Y86" s="85"/>
      <c r="Z86" s="85"/>
      <c r="AA86" s="85"/>
      <c r="AB86" s="3"/>
      <c r="AC86" s="3"/>
      <c r="AE86" s="51"/>
    </row>
    <row r="87" spans="4:31" ht="11.25" customHeight="1" x14ac:dyDescent="0.2">
      <c r="K87" s="51"/>
      <c r="M87" s="116" t="s">
        <v>184</v>
      </c>
      <c r="N87" s="116"/>
      <c r="O87" s="116"/>
      <c r="P87" s="116"/>
      <c r="Q87" s="116"/>
      <c r="R87" s="116"/>
      <c r="S87" s="116"/>
      <c r="T87" s="116"/>
      <c r="U87" s="116"/>
      <c r="V87" s="116"/>
      <c r="W87" s="116"/>
      <c r="X87" s="116"/>
      <c r="Y87" s="116"/>
      <c r="Z87" s="116"/>
      <c r="AA87" s="116"/>
      <c r="AB87" s="116"/>
      <c r="AC87" s="116"/>
      <c r="AD87" s="116"/>
      <c r="AE87" s="51"/>
    </row>
    <row r="88" spans="4:31" x14ac:dyDescent="0.2">
      <c r="K88" s="51"/>
      <c r="M88" s="116"/>
      <c r="N88" s="116"/>
      <c r="O88" s="116"/>
      <c r="P88" s="116"/>
      <c r="Q88" s="116"/>
      <c r="R88" s="116"/>
      <c r="S88" s="116"/>
      <c r="T88" s="116"/>
      <c r="U88" s="116"/>
      <c r="V88" s="116"/>
      <c r="W88" s="116"/>
      <c r="X88" s="116"/>
      <c r="Y88" s="116"/>
      <c r="Z88" s="116"/>
      <c r="AA88" s="116"/>
      <c r="AB88" s="116"/>
      <c r="AC88" s="116"/>
      <c r="AD88" s="116"/>
      <c r="AE88" s="51"/>
    </row>
    <row r="89" spans="4:31" x14ac:dyDescent="0.2">
      <c r="K89" s="51"/>
      <c r="M89" s="116"/>
      <c r="N89" s="116"/>
      <c r="O89" s="116"/>
      <c r="P89" s="116"/>
      <c r="Q89" s="116"/>
      <c r="R89" s="116"/>
      <c r="S89" s="116"/>
      <c r="T89" s="116"/>
      <c r="U89" s="116"/>
      <c r="V89" s="116"/>
      <c r="W89" s="116"/>
      <c r="X89" s="116"/>
      <c r="Y89" s="116"/>
      <c r="Z89" s="116"/>
      <c r="AA89" s="116"/>
      <c r="AB89" s="116"/>
      <c r="AC89" s="116"/>
      <c r="AD89" s="116"/>
      <c r="AE89" s="51"/>
    </row>
    <row r="90" spans="4:31" x14ac:dyDescent="0.2">
      <c r="K90" s="51"/>
      <c r="M90" s="116"/>
      <c r="N90" s="116"/>
      <c r="O90" s="116"/>
      <c r="P90" s="116"/>
      <c r="Q90" s="116"/>
      <c r="R90" s="116"/>
      <c r="S90" s="116"/>
      <c r="T90" s="116"/>
      <c r="U90" s="116"/>
      <c r="V90" s="116"/>
      <c r="W90" s="116"/>
      <c r="X90" s="116"/>
      <c r="Y90" s="116"/>
      <c r="Z90" s="116"/>
      <c r="AA90" s="116"/>
      <c r="AB90" s="116"/>
      <c r="AC90" s="116"/>
      <c r="AD90" s="116"/>
      <c r="AE90" s="51"/>
    </row>
    <row r="91" spans="4:31" x14ac:dyDescent="0.2">
      <c r="K91" s="51"/>
      <c r="M91" s="116"/>
      <c r="N91" s="116"/>
      <c r="O91" s="116"/>
      <c r="P91" s="116"/>
      <c r="Q91" s="116"/>
      <c r="R91" s="116"/>
      <c r="S91" s="116"/>
      <c r="T91" s="116"/>
      <c r="U91" s="116"/>
      <c r="V91" s="116"/>
      <c r="W91" s="116"/>
      <c r="X91" s="116"/>
      <c r="Y91" s="116"/>
      <c r="Z91" s="116"/>
      <c r="AA91" s="116"/>
      <c r="AB91" s="116"/>
      <c r="AC91" s="116"/>
      <c r="AD91" s="116"/>
      <c r="AE91" s="51"/>
    </row>
    <row r="92" spans="4:31" x14ac:dyDescent="0.2">
      <c r="K92" s="51"/>
      <c r="M92" s="116"/>
      <c r="N92" s="116"/>
      <c r="O92" s="116"/>
      <c r="P92" s="116"/>
      <c r="Q92" s="116"/>
      <c r="R92" s="116"/>
      <c r="S92" s="116"/>
      <c r="T92" s="116"/>
      <c r="U92" s="116"/>
      <c r="V92" s="116"/>
      <c r="W92" s="116"/>
      <c r="X92" s="116"/>
      <c r="Y92" s="116"/>
      <c r="Z92" s="116"/>
      <c r="AA92" s="116"/>
      <c r="AB92" s="116"/>
      <c r="AC92" s="116"/>
      <c r="AD92" s="116"/>
      <c r="AE92" s="51"/>
    </row>
    <row r="93" spans="4:31" x14ac:dyDescent="0.2">
      <c r="K93" s="51"/>
      <c r="M93" s="116"/>
      <c r="N93" s="116"/>
      <c r="O93" s="116"/>
      <c r="P93" s="116"/>
      <c r="Q93" s="116"/>
      <c r="R93" s="116"/>
      <c r="S93" s="116"/>
      <c r="T93" s="116"/>
      <c r="U93" s="116"/>
      <c r="V93" s="116"/>
      <c r="W93" s="116"/>
      <c r="X93" s="116"/>
      <c r="Y93" s="116"/>
      <c r="Z93" s="116"/>
      <c r="AA93" s="116"/>
      <c r="AB93" s="116"/>
      <c r="AC93" s="116"/>
      <c r="AD93" s="116"/>
      <c r="AE93" s="51"/>
    </row>
    <row r="94" spans="4:31" x14ac:dyDescent="0.2">
      <c r="K94" s="51"/>
      <c r="M94" s="116"/>
      <c r="N94" s="116"/>
      <c r="O94" s="116"/>
      <c r="P94" s="116"/>
      <c r="Q94" s="116"/>
      <c r="R94" s="116"/>
      <c r="S94" s="116"/>
      <c r="T94" s="116"/>
      <c r="U94" s="116"/>
      <c r="V94" s="116"/>
      <c r="W94" s="116"/>
      <c r="X94" s="116"/>
      <c r="Y94" s="116"/>
      <c r="Z94" s="116"/>
      <c r="AA94" s="116"/>
      <c r="AB94" s="116"/>
      <c r="AC94" s="116"/>
      <c r="AD94" s="116"/>
      <c r="AE94" s="51"/>
    </row>
    <row r="95" spans="4:31" x14ac:dyDescent="0.2">
      <c r="K95" s="51"/>
      <c r="M95" s="116"/>
      <c r="N95" s="116"/>
      <c r="O95" s="116"/>
      <c r="P95" s="116"/>
      <c r="Q95" s="116"/>
      <c r="R95" s="116"/>
      <c r="S95" s="116"/>
      <c r="T95" s="116"/>
      <c r="U95" s="116"/>
      <c r="V95" s="116"/>
      <c r="W95" s="116"/>
      <c r="X95" s="116"/>
      <c r="Y95" s="116"/>
      <c r="Z95" s="116"/>
      <c r="AA95" s="116"/>
      <c r="AB95" s="116"/>
      <c r="AC95" s="116"/>
      <c r="AD95" s="116"/>
      <c r="AE95" s="51"/>
    </row>
    <row r="96" spans="4:31" x14ac:dyDescent="0.2">
      <c r="K96" s="51"/>
      <c r="M96" s="116"/>
      <c r="N96" s="116"/>
      <c r="O96" s="116"/>
      <c r="P96" s="116"/>
      <c r="Q96" s="116"/>
      <c r="R96" s="116"/>
      <c r="S96" s="116"/>
      <c r="T96" s="116"/>
      <c r="U96" s="116"/>
      <c r="V96" s="116"/>
      <c r="W96" s="116"/>
      <c r="X96" s="116"/>
      <c r="Y96" s="116"/>
      <c r="Z96" s="116"/>
      <c r="AA96" s="116"/>
      <c r="AB96" s="116"/>
      <c r="AC96" s="116"/>
      <c r="AD96" s="116"/>
      <c r="AE96" s="51"/>
    </row>
    <row r="97" spans="11:31" x14ac:dyDescent="0.2">
      <c r="K97" s="51"/>
      <c r="M97" s="116"/>
      <c r="N97" s="116"/>
      <c r="O97" s="116"/>
      <c r="P97" s="116"/>
      <c r="Q97" s="116"/>
      <c r="R97" s="116"/>
      <c r="S97" s="116"/>
      <c r="T97" s="116"/>
      <c r="U97" s="116"/>
      <c r="V97" s="116"/>
      <c r="W97" s="116"/>
      <c r="X97" s="116"/>
      <c r="Y97" s="116"/>
      <c r="Z97" s="116"/>
      <c r="AA97" s="116"/>
      <c r="AB97" s="116"/>
      <c r="AC97" s="116"/>
      <c r="AD97" s="116"/>
      <c r="AE97" s="51"/>
    </row>
    <row r="98" spans="11:31" x14ac:dyDescent="0.2">
      <c r="K98" s="51"/>
      <c r="M98" s="116"/>
      <c r="N98" s="116"/>
      <c r="O98" s="116"/>
      <c r="P98" s="116"/>
      <c r="Q98" s="116"/>
      <c r="R98" s="116"/>
      <c r="S98" s="116"/>
      <c r="T98" s="116"/>
      <c r="U98" s="116"/>
      <c r="V98" s="116"/>
      <c r="W98" s="116"/>
      <c r="X98" s="116"/>
      <c r="Y98" s="116"/>
      <c r="Z98" s="116"/>
      <c r="AA98" s="116"/>
      <c r="AB98" s="116"/>
      <c r="AC98" s="116"/>
      <c r="AD98" s="116"/>
      <c r="AE98" s="51"/>
    </row>
    <row r="99" spans="11:31" x14ac:dyDescent="0.2">
      <c r="K99" s="51"/>
      <c r="M99" s="116"/>
      <c r="N99" s="116"/>
      <c r="O99" s="116"/>
      <c r="P99" s="116"/>
      <c r="Q99" s="116"/>
      <c r="R99" s="116"/>
      <c r="S99" s="116"/>
      <c r="T99" s="116"/>
      <c r="U99" s="116"/>
      <c r="V99" s="116"/>
      <c r="W99" s="116"/>
      <c r="X99" s="116"/>
      <c r="Y99" s="116"/>
      <c r="Z99" s="116"/>
      <c r="AA99" s="116"/>
      <c r="AB99" s="116"/>
      <c r="AC99" s="116"/>
      <c r="AD99" s="116"/>
      <c r="AE99" s="51"/>
    </row>
    <row r="100" spans="11:31" x14ac:dyDescent="0.2">
      <c r="K100" s="51"/>
      <c r="M100" s="116"/>
      <c r="N100" s="116"/>
      <c r="O100" s="116"/>
      <c r="P100" s="116"/>
      <c r="Q100" s="116"/>
      <c r="R100" s="116"/>
      <c r="S100" s="116"/>
      <c r="T100" s="116"/>
      <c r="U100" s="116"/>
      <c r="V100" s="116"/>
      <c r="W100" s="116"/>
      <c r="X100" s="116"/>
      <c r="Y100" s="116"/>
      <c r="Z100" s="116"/>
      <c r="AA100" s="116"/>
      <c r="AB100" s="116"/>
      <c r="AC100" s="116"/>
      <c r="AD100" s="116"/>
      <c r="AE100" s="51"/>
    </row>
    <row r="101" spans="11:31" x14ac:dyDescent="0.2">
      <c r="K101" s="51"/>
      <c r="M101" s="116"/>
      <c r="N101" s="116"/>
      <c r="O101" s="116"/>
      <c r="P101" s="116"/>
      <c r="Q101" s="116"/>
      <c r="R101" s="116"/>
      <c r="S101" s="116"/>
      <c r="T101" s="116"/>
      <c r="U101" s="116"/>
      <c r="V101" s="116"/>
      <c r="W101" s="116"/>
      <c r="X101" s="116"/>
      <c r="Y101" s="116"/>
      <c r="Z101" s="116"/>
      <c r="AA101" s="116"/>
      <c r="AB101" s="116"/>
      <c r="AC101" s="116"/>
      <c r="AD101" s="116"/>
      <c r="AE101" s="51"/>
    </row>
    <row r="102" spans="11:31" x14ac:dyDescent="0.2">
      <c r="K102" s="51"/>
      <c r="M102" s="116"/>
      <c r="N102" s="116"/>
      <c r="O102" s="116"/>
      <c r="P102" s="116"/>
      <c r="Q102" s="116"/>
      <c r="R102" s="116"/>
      <c r="S102" s="116"/>
      <c r="T102" s="116"/>
      <c r="U102" s="116"/>
      <c r="V102" s="116"/>
      <c r="W102" s="116"/>
      <c r="X102" s="116"/>
      <c r="Y102" s="116"/>
      <c r="Z102" s="116"/>
      <c r="AA102" s="116"/>
      <c r="AB102" s="116"/>
      <c r="AC102" s="116"/>
      <c r="AD102" s="116"/>
      <c r="AE102" s="51"/>
    </row>
    <row r="103" spans="11:31" x14ac:dyDescent="0.2">
      <c r="K103" s="51"/>
      <c r="M103" s="116"/>
      <c r="N103" s="116"/>
      <c r="O103" s="116"/>
      <c r="P103" s="116"/>
      <c r="Q103" s="116"/>
      <c r="R103" s="116"/>
      <c r="S103" s="116"/>
      <c r="T103" s="116"/>
      <c r="U103" s="116"/>
      <c r="V103" s="116"/>
      <c r="W103" s="116"/>
      <c r="X103" s="116"/>
      <c r="Y103" s="116"/>
      <c r="Z103" s="116"/>
      <c r="AA103" s="116"/>
      <c r="AB103" s="116"/>
      <c r="AC103" s="116"/>
      <c r="AD103" s="116"/>
      <c r="AE103" s="51"/>
    </row>
    <row r="104" spans="11:31" x14ac:dyDescent="0.2">
      <c r="K104" s="51"/>
      <c r="M104" s="116"/>
      <c r="N104" s="116"/>
      <c r="O104" s="116"/>
      <c r="P104" s="116"/>
      <c r="Q104" s="116"/>
      <c r="R104" s="116"/>
      <c r="S104" s="116"/>
      <c r="T104" s="116"/>
      <c r="U104" s="116"/>
      <c r="V104" s="116"/>
      <c r="W104" s="116"/>
      <c r="X104" s="116"/>
      <c r="Y104" s="116"/>
      <c r="Z104" s="116"/>
      <c r="AA104" s="116"/>
      <c r="AB104" s="116"/>
      <c r="AC104" s="116"/>
      <c r="AD104" s="116"/>
      <c r="AE104" s="51"/>
    </row>
    <row r="105" spans="11:31" x14ac:dyDescent="0.2">
      <c r="K105" s="51"/>
      <c r="M105" s="116"/>
      <c r="N105" s="116"/>
      <c r="O105" s="116"/>
      <c r="P105" s="116"/>
      <c r="Q105" s="116"/>
      <c r="R105" s="116"/>
      <c r="S105" s="116"/>
      <c r="T105" s="116"/>
      <c r="U105" s="116"/>
      <c r="V105" s="116"/>
      <c r="W105" s="116"/>
      <c r="X105" s="116"/>
      <c r="Y105" s="116"/>
      <c r="Z105" s="116"/>
      <c r="AA105" s="116"/>
      <c r="AB105" s="116"/>
      <c r="AC105" s="116"/>
      <c r="AD105" s="116"/>
      <c r="AE105" s="51"/>
    </row>
    <row r="106" spans="11:31" x14ac:dyDescent="0.2">
      <c r="K106" s="51"/>
      <c r="M106" s="116"/>
      <c r="N106" s="116"/>
      <c r="O106" s="116"/>
      <c r="P106" s="116"/>
      <c r="Q106" s="116"/>
      <c r="R106" s="116"/>
      <c r="S106" s="116"/>
      <c r="T106" s="116"/>
      <c r="U106" s="116"/>
      <c r="V106" s="116"/>
      <c r="W106" s="116"/>
      <c r="X106" s="116"/>
      <c r="Y106" s="116"/>
      <c r="Z106" s="116"/>
      <c r="AA106" s="116"/>
      <c r="AB106" s="116"/>
      <c r="AC106" s="116"/>
      <c r="AD106" s="116"/>
      <c r="AE106" s="51"/>
    </row>
    <row r="107" spans="11:31" ht="15" x14ac:dyDescent="0.25">
      <c r="K107" s="51"/>
      <c r="O107" s="3"/>
      <c r="P107" s="4"/>
      <c r="Q107" s="4"/>
      <c r="R107" s="4"/>
      <c r="S107" s="4"/>
      <c r="T107" s="4"/>
      <c r="U107" s="4"/>
      <c r="V107" s="4"/>
      <c r="W107" s="4"/>
      <c r="X107" s="4"/>
      <c r="Y107" s="4"/>
      <c r="Z107" s="4"/>
      <c r="AA107" s="4"/>
      <c r="AB107" s="4"/>
      <c r="AC107" s="3"/>
      <c r="AE107" s="51"/>
    </row>
    <row r="108" spans="11:31" s="6" customFormat="1" ht="18.75" customHeight="1" x14ac:dyDescent="0.25">
      <c r="K108" s="78"/>
      <c r="M108" s="117" t="s">
        <v>183</v>
      </c>
      <c r="N108" s="117"/>
      <c r="O108" s="117"/>
      <c r="P108" s="117"/>
      <c r="Q108" s="117"/>
      <c r="R108" s="117"/>
      <c r="S108" s="117"/>
      <c r="T108" s="117"/>
      <c r="U108" s="117"/>
      <c r="V108" s="117"/>
      <c r="W108" s="117"/>
      <c r="X108" s="117"/>
      <c r="Y108" s="117"/>
      <c r="Z108" s="117"/>
      <c r="AA108" s="117"/>
      <c r="AB108" s="117"/>
      <c r="AC108" s="117"/>
      <c r="AD108" s="117"/>
      <c r="AE108" s="78"/>
    </row>
    <row r="109" spans="11:31" s="6" customFormat="1" ht="18.75" customHeight="1" x14ac:dyDescent="0.25">
      <c r="K109" s="78"/>
      <c r="M109" s="117"/>
      <c r="N109" s="117"/>
      <c r="O109" s="117"/>
      <c r="P109" s="117"/>
      <c r="Q109" s="117"/>
      <c r="R109" s="117"/>
      <c r="S109" s="117"/>
      <c r="T109" s="117"/>
      <c r="U109" s="117"/>
      <c r="V109" s="117"/>
      <c r="W109" s="117"/>
      <c r="X109" s="117"/>
      <c r="Y109" s="117"/>
      <c r="Z109" s="117"/>
      <c r="AA109" s="117"/>
      <c r="AB109" s="117"/>
      <c r="AC109" s="117"/>
      <c r="AD109" s="117"/>
      <c r="AE109" s="78"/>
    </row>
    <row r="110" spans="11:31" s="6" customFormat="1" ht="18.75" customHeight="1" x14ac:dyDescent="0.25">
      <c r="K110" s="78"/>
      <c r="M110" s="117"/>
      <c r="N110" s="117"/>
      <c r="O110" s="117"/>
      <c r="P110" s="117"/>
      <c r="Q110" s="117"/>
      <c r="R110" s="117"/>
      <c r="S110" s="117"/>
      <c r="T110" s="117"/>
      <c r="U110" s="117"/>
      <c r="V110" s="117"/>
      <c r="W110" s="117"/>
      <c r="X110" s="117"/>
      <c r="Y110" s="117"/>
      <c r="Z110" s="117"/>
      <c r="AA110" s="117"/>
      <c r="AB110" s="117"/>
      <c r="AC110" s="117"/>
      <c r="AD110" s="117"/>
      <c r="AE110" s="78"/>
    </row>
    <row r="111" spans="11:31" s="6" customFormat="1" ht="18.75" customHeight="1" x14ac:dyDescent="0.25">
      <c r="K111" s="78"/>
      <c r="M111" s="117"/>
      <c r="N111" s="117"/>
      <c r="O111" s="117"/>
      <c r="P111" s="117"/>
      <c r="Q111" s="117"/>
      <c r="R111" s="117"/>
      <c r="S111" s="117"/>
      <c r="T111" s="117"/>
      <c r="U111" s="117"/>
      <c r="V111" s="117"/>
      <c r="W111" s="117"/>
      <c r="X111" s="117"/>
      <c r="Y111" s="117"/>
      <c r="Z111" s="117"/>
      <c r="AA111" s="117"/>
      <c r="AB111" s="117"/>
      <c r="AC111" s="117"/>
      <c r="AD111" s="117"/>
      <c r="AE111" s="78"/>
    </row>
    <row r="112" spans="11:31" s="6" customFormat="1" ht="18.75" customHeight="1" x14ac:dyDescent="0.25">
      <c r="K112" s="78"/>
      <c r="M112" s="117"/>
      <c r="N112" s="117"/>
      <c r="O112" s="117"/>
      <c r="P112" s="117"/>
      <c r="Q112" s="117"/>
      <c r="R112" s="117"/>
      <c r="S112" s="117"/>
      <c r="T112" s="117"/>
      <c r="U112" s="117"/>
      <c r="V112" s="117"/>
      <c r="W112" s="117"/>
      <c r="X112" s="117"/>
      <c r="Y112" s="117"/>
      <c r="Z112" s="117"/>
      <c r="AA112" s="117"/>
      <c r="AB112" s="117"/>
      <c r="AC112" s="117"/>
      <c r="AD112" s="117"/>
      <c r="AE112" s="78"/>
    </row>
    <row r="113" spans="11:31" s="6" customFormat="1" ht="18.75" customHeight="1" x14ac:dyDescent="0.25">
      <c r="K113" s="78"/>
      <c r="M113" s="117"/>
      <c r="N113" s="117"/>
      <c r="O113" s="117"/>
      <c r="P113" s="117"/>
      <c r="Q113" s="117"/>
      <c r="R113" s="117"/>
      <c r="S113" s="117"/>
      <c r="T113" s="117"/>
      <c r="U113" s="117"/>
      <c r="V113" s="117"/>
      <c r="W113" s="117"/>
      <c r="X113" s="117"/>
      <c r="Y113" s="117"/>
      <c r="Z113" s="117"/>
      <c r="AA113" s="117"/>
      <c r="AB113" s="117"/>
      <c r="AC113" s="117"/>
      <c r="AD113" s="117"/>
      <c r="AE113" s="78"/>
    </row>
    <row r="114" spans="11:31" s="6" customFormat="1" ht="18.75" x14ac:dyDescent="0.25">
      <c r="K114" s="78"/>
      <c r="O114" s="89"/>
      <c r="P114" s="89"/>
      <c r="Q114" s="89"/>
      <c r="R114" s="89"/>
      <c r="S114" s="89"/>
      <c r="T114" s="89"/>
      <c r="U114" s="89"/>
      <c r="V114" s="89"/>
      <c r="W114" s="89"/>
      <c r="X114" s="89"/>
      <c r="Y114" s="89"/>
      <c r="Z114" s="89"/>
      <c r="AA114" s="89"/>
      <c r="AB114" s="89"/>
      <c r="AC114" s="89"/>
      <c r="AD114" s="68"/>
      <c r="AE114" s="78"/>
    </row>
    <row r="115" spans="11:31" ht="15" x14ac:dyDescent="0.25">
      <c r="K115" s="51"/>
      <c r="P115" s="4"/>
      <c r="AE115" s="51"/>
    </row>
    <row r="116" spans="11:31" ht="15" x14ac:dyDescent="0.25">
      <c r="K116" s="51"/>
      <c r="P116" s="4"/>
      <c r="AE116" s="51"/>
    </row>
    <row r="117" spans="11:31" ht="15" x14ac:dyDescent="0.25">
      <c r="K117" s="51"/>
      <c r="P117" s="4"/>
      <c r="AE117" s="51"/>
    </row>
    <row r="118" spans="11:31" ht="11.25" customHeight="1" x14ac:dyDescent="0.2">
      <c r="K118" s="51"/>
      <c r="L118" s="113" t="s">
        <v>43</v>
      </c>
      <c r="M118" s="114"/>
      <c r="N118" s="114"/>
      <c r="O118" s="114"/>
      <c r="P118" s="114"/>
      <c r="Q118" s="114"/>
      <c r="R118" s="114"/>
      <c r="S118" s="114"/>
      <c r="T118" s="114"/>
      <c r="U118" s="114"/>
      <c r="V118" s="114"/>
      <c r="W118" s="114"/>
      <c r="X118" s="114"/>
      <c r="Y118" s="114"/>
      <c r="Z118" s="114"/>
      <c r="AA118" s="114"/>
      <c r="AB118" s="114"/>
      <c r="AC118" s="114"/>
      <c r="AD118" s="114"/>
      <c r="AE118" s="115"/>
    </row>
    <row r="119" spans="11:31" ht="18" customHeight="1" x14ac:dyDescent="0.2">
      <c r="K119" s="51"/>
      <c r="L119" s="113"/>
      <c r="M119" s="114"/>
      <c r="N119" s="114"/>
      <c r="O119" s="114"/>
      <c r="P119" s="114"/>
      <c r="Q119" s="114"/>
      <c r="R119" s="114"/>
      <c r="S119" s="114"/>
      <c r="T119" s="114"/>
      <c r="U119" s="114"/>
      <c r="V119" s="114"/>
      <c r="W119" s="114"/>
      <c r="X119" s="114"/>
      <c r="Y119" s="114"/>
      <c r="Z119" s="114"/>
      <c r="AA119" s="114"/>
      <c r="AB119" s="114"/>
      <c r="AC119" s="114"/>
      <c r="AD119" s="114"/>
      <c r="AE119" s="115"/>
    </row>
    <row r="120" spans="11:31" x14ac:dyDescent="0.2">
      <c r="K120" s="51"/>
      <c r="W120" s="3"/>
      <c r="AE120" s="51"/>
    </row>
    <row r="121" spans="11:31" ht="12" thickBot="1" x14ac:dyDescent="0.25">
      <c r="K121" s="51"/>
      <c r="L121" s="56"/>
      <c r="M121" s="56"/>
      <c r="N121" s="56"/>
      <c r="O121" s="56"/>
      <c r="P121" s="56"/>
      <c r="Q121" s="56"/>
      <c r="R121" s="56"/>
      <c r="S121" s="56"/>
      <c r="T121" s="56"/>
      <c r="U121" s="56"/>
      <c r="V121" s="56"/>
      <c r="W121" s="56"/>
      <c r="X121" s="63"/>
      <c r="Y121" s="56"/>
      <c r="Z121" s="56"/>
      <c r="AA121" s="56"/>
      <c r="AB121" s="56"/>
      <c r="AC121" s="56"/>
      <c r="AD121" s="56"/>
      <c r="AE121" s="58"/>
    </row>
  </sheetData>
  <mergeCells count="41">
    <mergeCell ref="M9:AD10"/>
    <mergeCell ref="M17:AD22"/>
    <mergeCell ref="D65:M65"/>
    <mergeCell ref="C50:M51"/>
    <mergeCell ref="Q50:Z51"/>
    <mergeCell ref="C60:M60"/>
    <mergeCell ref="AD50:AM51"/>
    <mergeCell ref="AE52:AM53"/>
    <mergeCell ref="AE54:AL55"/>
    <mergeCell ref="M13:AD13"/>
    <mergeCell ref="L12:AE12"/>
    <mergeCell ref="Q39:Z39"/>
    <mergeCell ref="Q60:Z60"/>
    <mergeCell ref="M24:AD24"/>
    <mergeCell ref="C39:M39"/>
    <mergeCell ref="Q52:Z53"/>
    <mergeCell ref="Q69:AA69"/>
    <mergeCell ref="C52:M53"/>
    <mergeCell ref="C74:M75"/>
    <mergeCell ref="AD69:AN69"/>
    <mergeCell ref="AE70:AM72"/>
    <mergeCell ref="C69:M69"/>
    <mergeCell ref="C70:M71"/>
    <mergeCell ref="C63:M64"/>
    <mergeCell ref="C72:M73"/>
    <mergeCell ref="L118:AE119"/>
    <mergeCell ref="M87:AD106"/>
    <mergeCell ref="M108:AD113"/>
    <mergeCell ref="Q40:Z41"/>
    <mergeCell ref="Q42:Z43"/>
    <mergeCell ref="Q44:Z45"/>
    <mergeCell ref="Q54:Z55"/>
    <mergeCell ref="Q70:Z72"/>
    <mergeCell ref="C40:M41"/>
    <mergeCell ref="C42:M43"/>
    <mergeCell ref="C44:M45"/>
    <mergeCell ref="C54:M55"/>
    <mergeCell ref="Q61:Z62"/>
    <mergeCell ref="C61:M62"/>
    <mergeCell ref="AD60:AM60"/>
    <mergeCell ref="AD62:AM62"/>
  </mergeCells>
  <printOptions horizontalCentered="1"/>
  <pageMargins left="0.11811023622047245" right="0.11811023622047245" top="0.15748031496062992" bottom="0.15748031496062992" header="0.31496062992125984" footer="0.31496062992125984"/>
  <pageSetup paperSize="9" scale="39"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U417"/>
  <sheetViews>
    <sheetView workbookViewId="0">
      <selection activeCell="G16" sqref="G16"/>
    </sheetView>
  </sheetViews>
  <sheetFormatPr defaultColWidth="9" defaultRowHeight="15" x14ac:dyDescent="0.25"/>
  <cols>
    <col min="1" max="1" width="18" style="14" customWidth="1"/>
    <col min="2" max="2" width="17.33203125" style="14" customWidth="1"/>
    <col min="3" max="3" width="18.6640625" style="14" customWidth="1"/>
    <col min="4" max="4" width="12" style="14" customWidth="1"/>
    <col min="5" max="5" width="30.33203125" style="14" customWidth="1"/>
    <col min="6" max="6" width="26.1640625" style="14" customWidth="1"/>
    <col min="7" max="7" width="10.6640625" style="14" customWidth="1"/>
    <col min="8" max="8" width="9" style="14"/>
    <col min="9" max="9" width="17.33203125" style="14" customWidth="1"/>
    <col min="10" max="10" width="18.6640625" style="14" customWidth="1"/>
    <col min="11" max="11" width="12" style="14" customWidth="1"/>
    <col min="12" max="12" width="30.33203125" style="14" customWidth="1"/>
    <col min="13" max="13" width="26.1640625" style="14" customWidth="1"/>
    <col min="14" max="14" width="9.83203125" style="14" customWidth="1"/>
    <col min="15" max="15" width="10.6640625" style="14" customWidth="1"/>
    <col min="16" max="16" width="9" style="14"/>
    <col min="17" max="19" width="12.83203125" style="14" customWidth="1"/>
    <col min="20" max="20" width="11.6640625" style="14" customWidth="1"/>
    <col min="21" max="21" width="12.83203125" style="14" customWidth="1"/>
    <col min="22" max="16384" width="9" style="14"/>
  </cols>
  <sheetData>
    <row r="1" spans="1:10" s="11" customFormat="1" x14ac:dyDescent="0.25">
      <c r="A1" s="12" t="s">
        <v>44</v>
      </c>
    </row>
    <row r="2" spans="1:10" x14ac:dyDescent="0.25">
      <c r="A2" s="14" t="s">
        <v>45</v>
      </c>
      <c r="B2" s="14" t="s">
        <v>162</v>
      </c>
    </row>
    <row r="3" spans="1:10" x14ac:dyDescent="0.25">
      <c r="A3" s="14" t="s">
        <v>46</v>
      </c>
      <c r="B3" s="15">
        <v>0.77966101694915257</v>
      </c>
      <c r="C3" s="15" t="str">
        <f>TEXT(B3,"0%")</f>
        <v>78%</v>
      </c>
    </row>
    <row r="4" spans="1:10" x14ac:dyDescent="0.25">
      <c r="A4" s="16" t="s">
        <v>47</v>
      </c>
      <c r="B4" s="17">
        <v>0.51437674934495625</v>
      </c>
      <c r="C4" s="15" t="str">
        <f>TEXT(B4,"0%")</f>
        <v>51%</v>
      </c>
    </row>
    <row r="5" spans="1:10" x14ac:dyDescent="0.25">
      <c r="A5" s="16" t="s">
        <v>48</v>
      </c>
      <c r="B5" s="15">
        <v>0.96103896103896103</v>
      </c>
      <c r="C5" s="18"/>
    </row>
    <row r="6" spans="1:10" x14ac:dyDescent="0.25">
      <c r="A6" s="16" t="s">
        <v>49</v>
      </c>
      <c r="B6" s="15">
        <v>2.8169014084507043E-2</v>
      </c>
      <c r="C6" s="19"/>
    </row>
    <row r="7" spans="1:10" x14ac:dyDescent="0.25">
      <c r="A7" s="14" t="s">
        <v>50</v>
      </c>
      <c r="B7" s="15">
        <v>0.71532846715328469</v>
      </c>
    </row>
    <row r="8" spans="1:10" x14ac:dyDescent="0.25">
      <c r="A8" s="14" t="s">
        <v>51</v>
      </c>
      <c r="B8" s="15">
        <v>0.30927835051546393</v>
      </c>
    </row>
    <row r="11" spans="1:10" s="11" customFormat="1" x14ac:dyDescent="0.25">
      <c r="A11" s="12" t="s">
        <v>52</v>
      </c>
    </row>
    <row r="12" spans="1:10" x14ac:dyDescent="0.25">
      <c r="A12" s="14" t="s">
        <v>45</v>
      </c>
      <c r="B12" s="14" t="s">
        <v>162</v>
      </c>
    </row>
    <row r="13" spans="1:10" x14ac:dyDescent="0.25">
      <c r="A13" s="23"/>
      <c r="B13" s="34" t="s">
        <v>53</v>
      </c>
      <c r="C13" s="34" t="s">
        <v>54</v>
      </c>
      <c r="D13" s="26"/>
      <c r="E13" s="26"/>
      <c r="I13" s="34" t="s">
        <v>53</v>
      </c>
      <c r="J13" s="34" t="s">
        <v>54</v>
      </c>
    </row>
    <row r="14" spans="1:10" ht="15" customHeight="1" x14ac:dyDescent="0.25">
      <c r="A14" s="24" t="s">
        <v>55</v>
      </c>
      <c r="B14" s="25">
        <v>1.5505365040436845E-3</v>
      </c>
      <c r="C14" s="25">
        <v>1.858488461687289E-3</v>
      </c>
      <c r="D14" s="17">
        <v>0.45483283919313094</v>
      </c>
      <c r="E14" s="17">
        <v>0.54516716080686911</v>
      </c>
      <c r="F14" s="33">
        <f>B14+C14</f>
        <v>3.4090249657309736E-3</v>
      </c>
      <c r="G14" s="14" t="str">
        <f>TEXT(F14,"MM:SS")</f>
        <v>04:55</v>
      </c>
      <c r="I14" s="14" t="str">
        <f>TEXT(B14,"mm:ss")&amp;" ("&amp;TEXT(D14,"#%")&amp;")"</f>
        <v>02:14 (45%)</v>
      </c>
      <c r="J14" s="14" t="str">
        <f>TEXT(C14,"mm:ss")&amp;" ("&amp;TEXT(E14,"#%")&amp;")"</f>
        <v>02:41 (55%)</v>
      </c>
    </row>
    <row r="15" spans="1:10" x14ac:dyDescent="0.25">
      <c r="A15" s="14" t="s">
        <v>162</v>
      </c>
      <c r="B15" s="25">
        <v>1.5230537617941713E-3</v>
      </c>
      <c r="C15" s="25">
        <v>2.6466502708180368E-3</v>
      </c>
      <c r="D15" s="17">
        <v>0.36526663520528552</v>
      </c>
      <c r="E15" s="17">
        <v>0.63473336479471454</v>
      </c>
      <c r="F15" s="33">
        <f>B15+C15</f>
        <v>4.1697040326122078E-3</v>
      </c>
      <c r="G15" s="14" t="str">
        <f>TEXT(F15,"MM:SS")</f>
        <v>06:00</v>
      </c>
      <c r="I15" s="14" t="str">
        <f>TEXT(B15,"mm:ss")&amp;" ("&amp;TEXT(D15,"#%")&amp;")"</f>
        <v>02:12 (37%)</v>
      </c>
      <c r="J15" s="14" t="str">
        <f>TEXT(C15,"mm:ss")&amp;" ("&amp;TEXT(E15,"#%")&amp;")"</f>
        <v>03:49 (63%)</v>
      </c>
    </row>
    <row r="21" spans="1:21" s="11" customFormat="1" x14ac:dyDescent="0.25">
      <c r="A21" s="12" t="s">
        <v>56</v>
      </c>
    </row>
    <row r="22" spans="1:21" x14ac:dyDescent="0.25">
      <c r="A22" s="14" t="s">
        <v>45</v>
      </c>
      <c r="B22" s="14" t="s">
        <v>162</v>
      </c>
    </row>
    <row r="23" spans="1:21" x14ac:dyDescent="0.25">
      <c r="B23" s="35" t="s">
        <v>57</v>
      </c>
      <c r="C23" s="35" t="s">
        <v>58</v>
      </c>
      <c r="D23" s="35" t="s">
        <v>59</v>
      </c>
      <c r="E23" s="35" t="s">
        <v>60</v>
      </c>
      <c r="F23" s="35" t="s">
        <v>61</v>
      </c>
      <c r="H23" s="35" t="s">
        <v>57</v>
      </c>
      <c r="I23" s="35" t="s">
        <v>58</v>
      </c>
      <c r="J23" s="35" t="s">
        <v>59</v>
      </c>
      <c r="K23" s="35" t="s">
        <v>60</v>
      </c>
      <c r="L23" s="35" t="s">
        <v>61</v>
      </c>
      <c r="Q23" s="35" t="s">
        <v>58</v>
      </c>
      <c r="R23" s="35" t="s">
        <v>59</v>
      </c>
      <c r="S23" s="35" t="s">
        <v>60</v>
      </c>
      <c r="T23" s="35" t="s">
        <v>61</v>
      </c>
      <c r="U23" s="35" t="s">
        <v>57</v>
      </c>
    </row>
    <row r="24" spans="1:21" x14ac:dyDescent="0.25">
      <c r="A24" s="24" t="s">
        <v>55</v>
      </c>
      <c r="B24" s="25">
        <v>4.3346473295820363E-5</v>
      </c>
      <c r="C24" s="25">
        <v>8.7914175020918398E-5</v>
      </c>
      <c r="D24" s="25">
        <v>2.7786851496404809E-4</v>
      </c>
      <c r="E24" s="25">
        <v>1.3525448066304012E-4</v>
      </c>
      <c r="F24" s="25">
        <v>1.0061528600998574E-3</v>
      </c>
      <c r="H24" s="17">
        <v>2.7955790258904559E-2</v>
      </c>
      <c r="I24" s="17">
        <v>5.6699197207963015E-2</v>
      </c>
      <c r="J24" s="17">
        <v>0.17920798010197606</v>
      </c>
      <c r="K24" s="17">
        <v>8.7230761939694076E-2</v>
      </c>
      <c r="L24" s="17">
        <v>0.64890627049146232</v>
      </c>
      <c r="N24" s="36">
        <f>SUM(B24:F24)</f>
        <v>1.5505365040436843E-3</v>
      </c>
      <c r="O24" s="14" t="str">
        <f>TEXT(N24,"MM:SS")&amp;" m:s"</f>
        <v>02:14 m:s</v>
      </c>
      <c r="Q24" s="14" t="str">
        <f t="shared" ref="Q24:U25" si="0">TEXT(B24,"m:ss")&amp;CHAR(10)</f>
        <v xml:space="preserve">0:04
</v>
      </c>
      <c r="R24" s="14" t="str">
        <f t="shared" si="0"/>
        <v xml:space="preserve">0:08
</v>
      </c>
      <c r="S24" s="14" t="str">
        <f t="shared" si="0"/>
        <v xml:space="preserve">0:24
</v>
      </c>
      <c r="T24" s="14" t="str">
        <f t="shared" si="0"/>
        <v xml:space="preserve">0:12
</v>
      </c>
      <c r="U24" s="14" t="str">
        <f t="shared" si="0"/>
        <v xml:space="preserve">1:27
</v>
      </c>
    </row>
    <row r="25" spans="1:21" x14ac:dyDescent="0.25">
      <c r="A25" s="14" t="s">
        <v>162</v>
      </c>
      <c r="B25" s="25">
        <v>8.0678558441293319E-5</v>
      </c>
      <c r="C25" s="25">
        <v>1.1806618308481948E-5</v>
      </c>
      <c r="D25" s="25">
        <v>2.7548776053124544E-4</v>
      </c>
      <c r="E25" s="25">
        <v>1.0429179505825721E-4</v>
      </c>
      <c r="F25" s="25">
        <v>1.0507890294548933E-3</v>
      </c>
      <c r="H25" s="17">
        <v>5.2971576227390182E-2</v>
      </c>
      <c r="I25" s="17">
        <v>7.7519379844961239E-3</v>
      </c>
      <c r="J25" s="17">
        <v>0.18087855297157623</v>
      </c>
      <c r="K25" s="17">
        <v>6.847545219638243E-2</v>
      </c>
      <c r="L25" s="17">
        <v>0.68992248062015504</v>
      </c>
      <c r="N25" s="36">
        <f>SUM(B25:F25)</f>
        <v>1.5230537617941711E-3</v>
      </c>
      <c r="O25" s="14" t="str">
        <f>TEXT(N25,"MM:SS")&amp;" m:s"</f>
        <v>02:12 m:s</v>
      </c>
      <c r="Q25" s="14" t="str">
        <f t="shared" si="0"/>
        <v xml:space="preserve">0:07
</v>
      </c>
      <c r="R25" s="14" t="str">
        <f t="shared" si="0"/>
        <v xml:space="preserve">0:01
</v>
      </c>
      <c r="S25" s="14" t="str">
        <f t="shared" si="0"/>
        <v xml:space="preserve">0:24
</v>
      </c>
      <c r="T25" s="14" t="str">
        <f t="shared" si="0"/>
        <v xml:space="preserve">0:09
</v>
      </c>
      <c r="U25" s="14" t="str">
        <f t="shared" si="0"/>
        <v xml:space="preserve">1:31
</v>
      </c>
    </row>
    <row r="31" spans="1:21" s="11" customFormat="1" x14ac:dyDescent="0.25">
      <c r="A31" s="12" t="s">
        <v>62</v>
      </c>
    </row>
    <row r="32" spans="1:21" x14ac:dyDescent="0.25">
      <c r="A32" s="14" t="s">
        <v>45</v>
      </c>
      <c r="B32" s="14" t="s">
        <v>162</v>
      </c>
    </row>
    <row r="33" spans="1:10" x14ac:dyDescent="0.25">
      <c r="B33" s="35" t="s">
        <v>63</v>
      </c>
      <c r="C33" s="35" t="s">
        <v>64</v>
      </c>
      <c r="I33" s="35" t="s">
        <v>63</v>
      </c>
      <c r="J33" s="35" t="s">
        <v>64</v>
      </c>
    </row>
    <row r="34" spans="1:10" x14ac:dyDescent="0.25">
      <c r="A34" s="24" t="s">
        <v>55</v>
      </c>
      <c r="B34" s="25">
        <v>1.5286845966561757E-4</v>
      </c>
      <c r="C34" s="25">
        <v>1.7056200020216716E-3</v>
      </c>
      <c r="D34" s="17">
        <v>8.2254188184106861E-2</v>
      </c>
      <c r="E34" s="17">
        <v>0.9177458118158931</v>
      </c>
      <c r="F34" s="33">
        <f>B34+C34</f>
        <v>1.8584884616872892E-3</v>
      </c>
      <c r="G34" s="14" t="str">
        <f>TEXT(F34,"MM:SS")&amp;" m:s"</f>
        <v>02:41 m:s</v>
      </c>
      <c r="I34" s="14" t="str">
        <f>TEXT(B34,"m:ss")&amp;CHAR(10)</f>
        <v xml:space="preserve">0:13
</v>
      </c>
      <c r="J34" s="14" t="str">
        <f>TEXT(C34,"m:ss")&amp;CHAR(10)</f>
        <v xml:space="preserve">2:27
</v>
      </c>
    </row>
    <row r="35" spans="1:10" x14ac:dyDescent="0.25">
      <c r="A35" s="14" t="s">
        <v>162</v>
      </c>
      <c r="B35" s="25">
        <v>1.1216287393057851E-4</v>
      </c>
      <c r="C35" s="25">
        <v>2.5344873968874584E-3</v>
      </c>
      <c r="D35" s="17">
        <v>4.2379182156133829E-2</v>
      </c>
      <c r="E35" s="17">
        <v>0.95762081784386621</v>
      </c>
      <c r="F35" s="33">
        <f>B35+C35</f>
        <v>2.6466502708180368E-3</v>
      </c>
      <c r="G35" s="14" t="str">
        <f>TEXT(F35,"MM:SS")&amp;" m:s"</f>
        <v>03:49 m:s</v>
      </c>
      <c r="I35" s="14" t="str">
        <f>TEXT(B35,"m:ss")&amp;CHAR(10)</f>
        <v xml:space="preserve">0:10
</v>
      </c>
      <c r="J35" s="14" t="str">
        <f>TEXT(C35,"m:ss")&amp;CHAR(10)</f>
        <v xml:space="preserve">3:39
</v>
      </c>
    </row>
    <row r="41" spans="1:10" s="11" customFormat="1" x14ac:dyDescent="0.25">
      <c r="A41" s="12" t="s">
        <v>65</v>
      </c>
    </row>
    <row r="42" spans="1:10" x14ac:dyDescent="0.25">
      <c r="A42" s="14" t="s">
        <v>45</v>
      </c>
      <c r="B42" s="14" t="s">
        <v>162</v>
      </c>
      <c r="C42" s="38" t="s">
        <v>66</v>
      </c>
      <c r="D42" s="39">
        <v>1.7361111111111112E-4</v>
      </c>
    </row>
    <row r="43" spans="1:10" x14ac:dyDescent="0.25">
      <c r="A43" s="14" t="s">
        <v>46</v>
      </c>
      <c r="B43" s="27">
        <v>2.7548776053124544E-4</v>
      </c>
      <c r="C43" s="14" t="str">
        <f>TEXT(B43,"hh:MM:SS")</f>
        <v>00:00:24</v>
      </c>
    </row>
    <row r="44" spans="1:10" x14ac:dyDescent="0.25">
      <c r="A44" s="16" t="s">
        <v>47</v>
      </c>
      <c r="B44" s="27">
        <v>2.8100008493592299E-4</v>
      </c>
      <c r="C44" s="14" t="str">
        <f>TEXT(B44,"hh:MM:SS")</f>
        <v>00:00:24</v>
      </c>
    </row>
    <row r="45" spans="1:10" x14ac:dyDescent="0.25">
      <c r="A45" s="16" t="s">
        <v>48</v>
      </c>
      <c r="B45" s="27">
        <v>1.1061559044652201E-3</v>
      </c>
    </row>
    <row r="46" spans="1:10" x14ac:dyDescent="0.25">
      <c r="A46" s="16" t="s">
        <v>49</v>
      </c>
      <c r="B46" s="27">
        <v>0</v>
      </c>
    </row>
    <row r="47" spans="1:10" x14ac:dyDescent="0.25">
      <c r="A47" s="14" t="s">
        <v>50</v>
      </c>
      <c r="B47" s="27">
        <v>3.8758723621030056E-4</v>
      </c>
    </row>
    <row r="48" spans="1:10" x14ac:dyDescent="0.25">
      <c r="A48" s="14" t="s">
        <v>51</v>
      </c>
      <c r="B48" s="27">
        <v>1.3490877854608905E-4</v>
      </c>
    </row>
    <row r="51" spans="1:4" s="11" customFormat="1" x14ac:dyDescent="0.25">
      <c r="A51" s="12" t="s">
        <v>67</v>
      </c>
    </row>
    <row r="52" spans="1:4" x14ac:dyDescent="0.25">
      <c r="A52" s="14" t="s">
        <v>45</v>
      </c>
      <c r="B52" s="14" t="s">
        <v>162</v>
      </c>
      <c r="C52" s="38" t="s">
        <v>66</v>
      </c>
      <c r="D52" s="39">
        <v>1.7361111111111112E-4</v>
      </c>
    </row>
    <row r="53" spans="1:4" x14ac:dyDescent="0.25">
      <c r="A53" s="14" t="s">
        <v>46</v>
      </c>
      <c r="B53" s="27">
        <v>9.2485176749775263E-5</v>
      </c>
      <c r="C53" s="14" t="str">
        <f>TEXT(B53,"hh:MM:SS")</f>
        <v>00:00:08</v>
      </c>
    </row>
    <row r="54" spans="1:4" x14ac:dyDescent="0.25">
      <c r="A54" s="16" t="s">
        <v>47</v>
      </c>
      <c r="B54" s="27">
        <v>1.2948594073571319E-4</v>
      </c>
      <c r="C54" s="14" t="str">
        <f>TEXT(B54,"hh:MM:SS")</f>
        <v>00:00:11</v>
      </c>
    </row>
    <row r="55" spans="1:4" x14ac:dyDescent="0.25">
      <c r="A55" s="16" t="s">
        <v>48</v>
      </c>
      <c r="B55" s="27">
        <v>8.1804625989216596E-4</v>
      </c>
    </row>
    <row r="56" spans="1:4" x14ac:dyDescent="0.25">
      <c r="A56" s="16" t="s">
        <v>49</v>
      </c>
      <c r="B56" s="27">
        <v>0</v>
      </c>
    </row>
    <row r="57" spans="1:4" x14ac:dyDescent="0.25">
      <c r="A57" s="14" t="s">
        <v>50</v>
      </c>
      <c r="B57" s="27">
        <v>2.121371490566537E-4</v>
      </c>
    </row>
    <row r="58" spans="1:4" x14ac:dyDescent="0.25">
      <c r="A58" s="14" t="s">
        <v>51</v>
      </c>
      <c r="B58" s="27">
        <v>1.9230717845672269E-5</v>
      </c>
    </row>
    <row r="61" spans="1:4" s="11" customFormat="1" x14ac:dyDescent="0.25">
      <c r="A61" s="12" t="s">
        <v>68</v>
      </c>
    </row>
    <row r="62" spans="1:4" x14ac:dyDescent="0.25">
      <c r="A62" s="14" t="s">
        <v>45</v>
      </c>
      <c r="B62" s="14" t="s">
        <v>162</v>
      </c>
    </row>
    <row r="63" spans="1:4" x14ac:dyDescent="0.25">
      <c r="A63" s="14" t="s">
        <v>46</v>
      </c>
      <c r="B63" s="15">
        <v>0.44067796610169491</v>
      </c>
      <c r="C63" s="15" t="str">
        <f>TEXT(B63,"0%")</f>
        <v>44%</v>
      </c>
    </row>
    <row r="64" spans="1:4" x14ac:dyDescent="0.25">
      <c r="A64" s="16" t="s">
        <v>47</v>
      </c>
      <c r="B64" s="17">
        <v>0.48820014714913657</v>
      </c>
      <c r="C64" s="15" t="str">
        <f>TEXT(B64,"0%")</f>
        <v>49%</v>
      </c>
    </row>
    <row r="65" spans="1:3" x14ac:dyDescent="0.25">
      <c r="A65" s="16" t="s">
        <v>48</v>
      </c>
      <c r="B65" s="15">
        <v>1</v>
      </c>
    </row>
    <row r="66" spans="1:3" x14ac:dyDescent="0.25">
      <c r="A66" s="16" t="s">
        <v>49</v>
      </c>
      <c r="B66" s="15">
        <v>0</v>
      </c>
    </row>
    <row r="67" spans="1:3" x14ac:dyDescent="0.25">
      <c r="A67" s="14" t="s">
        <v>50</v>
      </c>
      <c r="B67" s="15">
        <v>0.64231404958677685</v>
      </c>
    </row>
    <row r="68" spans="1:3" x14ac:dyDescent="0.25">
      <c r="A68" s="14" t="s">
        <v>51</v>
      </c>
      <c r="B68" s="15">
        <v>0.33333333333333331</v>
      </c>
    </row>
    <row r="71" spans="1:3" s="11" customFormat="1" x14ac:dyDescent="0.25">
      <c r="A71" s="12" t="s">
        <v>69</v>
      </c>
      <c r="B71" s="11" t="s">
        <v>70</v>
      </c>
    </row>
    <row r="72" spans="1:3" x14ac:dyDescent="0.25">
      <c r="A72" s="14" t="s">
        <v>45</v>
      </c>
      <c r="B72" s="14" t="s">
        <v>162</v>
      </c>
    </row>
    <row r="73" spans="1:3" x14ac:dyDescent="0.25">
      <c r="A73" s="14" t="s">
        <v>46</v>
      </c>
      <c r="B73" s="28">
        <v>1</v>
      </c>
      <c r="C73" s="15" t="str">
        <f>TEXT(B73,"0%")</f>
        <v>100%</v>
      </c>
    </row>
    <row r="74" spans="1:3" x14ac:dyDescent="0.25">
      <c r="A74" s="16" t="s">
        <v>47</v>
      </c>
      <c r="B74" s="28">
        <v>0.98339763422318194</v>
      </c>
      <c r="C74" s="15" t="str">
        <f>TEXT(B74,"0%")</f>
        <v>98%</v>
      </c>
    </row>
    <row r="75" spans="1:3" x14ac:dyDescent="0.25">
      <c r="A75" s="16" t="s">
        <v>48</v>
      </c>
      <c r="B75" s="28">
        <v>1</v>
      </c>
    </row>
    <row r="76" spans="1:3" x14ac:dyDescent="0.25">
      <c r="A76" s="16" t="s">
        <v>49</v>
      </c>
      <c r="B76" s="28">
        <v>0</v>
      </c>
    </row>
    <row r="77" spans="1:3" x14ac:dyDescent="0.25">
      <c r="A77" s="14" t="s">
        <v>50</v>
      </c>
      <c r="B77" s="28">
        <v>1</v>
      </c>
    </row>
    <row r="78" spans="1:3" x14ac:dyDescent="0.25">
      <c r="A78" s="14" t="s">
        <v>51</v>
      </c>
      <c r="B78" s="28">
        <v>1</v>
      </c>
    </row>
    <row r="81" spans="1:21" s="11" customFormat="1" x14ac:dyDescent="0.25">
      <c r="A81" s="12" t="s">
        <v>71</v>
      </c>
    </row>
    <row r="82" spans="1:21" x14ac:dyDescent="0.25">
      <c r="A82" s="14" t="s">
        <v>45</v>
      </c>
      <c r="B82" s="14" t="s">
        <v>162</v>
      </c>
    </row>
    <row r="83" spans="1:21" x14ac:dyDescent="0.25">
      <c r="B83" s="34" t="s">
        <v>53</v>
      </c>
      <c r="C83" s="34" t="s">
        <v>54</v>
      </c>
      <c r="I83" s="34" t="s">
        <v>53</v>
      </c>
      <c r="J83" s="34" t="s">
        <v>54</v>
      </c>
    </row>
    <row r="84" spans="1:21" x14ac:dyDescent="0.25">
      <c r="A84" s="24" t="s">
        <v>55</v>
      </c>
      <c r="B84" s="25">
        <v>1.264170891715468E-3</v>
      </c>
      <c r="C84" s="25">
        <v>3.1133571979251361E-4</v>
      </c>
      <c r="D84" s="17">
        <v>0.80239008994413452</v>
      </c>
      <c r="E84" s="17">
        <v>0.19760991005586545</v>
      </c>
      <c r="F84" s="33">
        <f>B84+C84</f>
        <v>1.5755066115079816E-3</v>
      </c>
      <c r="G84" s="14" t="str">
        <f>TEXT(F84,"M:SS")</f>
        <v>2:16</v>
      </c>
      <c r="I84" s="14" t="str">
        <f>TEXT(B84,"mm:ss")&amp;" ("&amp;TEXT(D84,"#%")&amp;")"</f>
        <v>01:49 (80%)</v>
      </c>
      <c r="J84" s="14" t="str">
        <f>TEXT(C84,"mm:ss")&amp;" ("&amp;TEXT(E84,"#%")&amp;")"</f>
        <v>00:27 (20%)</v>
      </c>
    </row>
    <row r="85" spans="1:21" x14ac:dyDescent="0.25">
      <c r="A85" s="14" t="s">
        <v>162</v>
      </c>
      <c r="B85" s="25">
        <v>1.0866769547325102E-3</v>
      </c>
      <c r="C85" s="25">
        <v>1.1831275720164609E-3</v>
      </c>
      <c r="D85" s="17">
        <v>0.47875354107648727</v>
      </c>
      <c r="E85" s="17">
        <v>0.52124645892351273</v>
      </c>
      <c r="F85" s="33">
        <f>B85+C85</f>
        <v>2.2698045267489711E-3</v>
      </c>
      <c r="G85" s="14" t="str">
        <f>TEXT(F85,"M:SS")</f>
        <v>3:16</v>
      </c>
      <c r="I85" s="14" t="str">
        <f>TEXT(B85,"mm:ss")&amp;" ("&amp;TEXT(D85,"#%")&amp;")"</f>
        <v>01:34 (48%)</v>
      </c>
      <c r="J85" s="14" t="str">
        <f>TEXT(C85,"mm:ss")&amp;" ("&amp;TEXT(E85,"#%")&amp;")"</f>
        <v>01:42 (52%)</v>
      </c>
    </row>
    <row r="91" spans="1:21" s="11" customFormat="1" x14ac:dyDescent="0.25">
      <c r="A91" s="12" t="s">
        <v>72</v>
      </c>
    </row>
    <row r="92" spans="1:21" x14ac:dyDescent="0.25">
      <c r="A92" s="14" t="s">
        <v>45</v>
      </c>
      <c r="B92" s="14" t="s">
        <v>162</v>
      </c>
    </row>
    <row r="93" spans="1:21" x14ac:dyDescent="0.25">
      <c r="B93" s="35" t="s">
        <v>57</v>
      </c>
      <c r="C93" s="35" t="s">
        <v>58</v>
      </c>
      <c r="D93" s="35" t="s">
        <v>59</v>
      </c>
      <c r="E93" s="35" t="s">
        <v>60</v>
      </c>
      <c r="F93" s="35" t="s">
        <v>61</v>
      </c>
      <c r="H93" s="35" t="s">
        <v>57</v>
      </c>
      <c r="I93" s="35" t="s">
        <v>58</v>
      </c>
      <c r="J93" s="35" t="s">
        <v>59</v>
      </c>
      <c r="K93" s="35" t="s">
        <v>60</v>
      </c>
      <c r="L93" s="35" t="s">
        <v>61</v>
      </c>
      <c r="Q93" s="35" t="s">
        <v>58</v>
      </c>
      <c r="R93" s="35" t="s">
        <v>59</v>
      </c>
      <c r="S93" s="35" t="s">
        <v>60</v>
      </c>
      <c r="T93" s="35" t="s">
        <v>61</v>
      </c>
      <c r="U93" s="35" t="s">
        <v>57</v>
      </c>
    </row>
    <row r="94" spans="1:21" x14ac:dyDescent="0.25">
      <c r="A94" s="24" t="s">
        <v>55</v>
      </c>
      <c r="B94" s="25">
        <v>9.106608401898552E-5</v>
      </c>
      <c r="C94" s="25">
        <v>1.2299803301668246E-4</v>
      </c>
      <c r="D94" s="25">
        <v>2.4340482760692563E-4</v>
      </c>
      <c r="E94" s="25">
        <v>3.2205284512025841E-4</v>
      </c>
      <c r="F94" s="25">
        <v>4.9411636811300499E-4</v>
      </c>
      <c r="H94" s="17">
        <v>7.1500750394337537E-2</v>
      </c>
      <c r="I94" s="17">
        <v>9.6572195372833056E-2</v>
      </c>
      <c r="J94" s="17">
        <v>0.19110987379089703</v>
      </c>
      <c r="K94" s="17">
        <v>0.252860550014747</v>
      </c>
      <c r="L94" s="17">
        <v>0.38795663042718531</v>
      </c>
      <c r="N94" s="36">
        <f>SUM(B94:F94)</f>
        <v>1.273638157875857E-3</v>
      </c>
      <c r="O94" s="14" t="str">
        <f>TEXT(N94,"MM:SS")&amp;" m:s"</f>
        <v>01:50 m:s</v>
      </c>
      <c r="Q94" s="14" t="str">
        <f t="shared" ref="Q94:U95" si="1">TEXT(B94,"m:ss")&amp;CHAR(10)</f>
        <v xml:space="preserve">0:08
</v>
      </c>
      <c r="R94" s="14" t="str">
        <f t="shared" si="1"/>
        <v xml:space="preserve">0:11
</v>
      </c>
      <c r="S94" s="14" t="str">
        <f t="shared" si="1"/>
        <v xml:space="preserve">0:21
</v>
      </c>
      <c r="T94" s="14" t="str">
        <f t="shared" si="1"/>
        <v xml:space="preserve">0:28
</v>
      </c>
      <c r="U94" s="14" t="str">
        <f t="shared" si="1"/>
        <v xml:space="preserve">0:43
</v>
      </c>
    </row>
    <row r="95" spans="1:21" x14ac:dyDescent="0.25">
      <c r="A95" s="14" t="s">
        <v>162</v>
      </c>
      <c r="B95" s="25">
        <v>6.4300411522633744E-6</v>
      </c>
      <c r="C95" s="25">
        <v>1.2860082304526749E-5</v>
      </c>
      <c r="D95" s="25">
        <v>3.407921810699588E-4</v>
      </c>
      <c r="E95" s="25">
        <v>1.1574074074074075E-4</v>
      </c>
      <c r="F95" s="25">
        <v>6.1085390946502051E-4</v>
      </c>
      <c r="H95" s="17">
        <v>5.9171597633136093E-3</v>
      </c>
      <c r="I95" s="17">
        <v>1.1834319526627219E-2</v>
      </c>
      <c r="J95" s="17">
        <v>0.31360946745562129</v>
      </c>
      <c r="K95" s="17">
        <v>0.10650887573964497</v>
      </c>
      <c r="L95" s="17">
        <v>0.56213017751479288</v>
      </c>
      <c r="N95" s="36">
        <f>SUM(B95:F95)</f>
        <v>1.0866769547325102E-3</v>
      </c>
      <c r="O95" s="14" t="str">
        <f>TEXT(N95,"MM:SS")&amp;" m:s"</f>
        <v>01:34 m:s</v>
      </c>
      <c r="Q95" s="14" t="str">
        <f t="shared" si="1"/>
        <v xml:space="preserve">0:01
</v>
      </c>
      <c r="R95" s="14" t="str">
        <f t="shared" si="1"/>
        <v xml:space="preserve">0:01
</v>
      </c>
      <c r="S95" s="14" t="str">
        <f t="shared" si="1"/>
        <v xml:space="preserve">0:29
</v>
      </c>
      <c r="T95" s="14" t="str">
        <f t="shared" si="1"/>
        <v xml:space="preserve">0:10
</v>
      </c>
      <c r="U95" s="14" t="str">
        <f t="shared" si="1"/>
        <v xml:space="preserve">0:53
</v>
      </c>
    </row>
    <row r="101" spans="1:10" s="11" customFormat="1" x14ac:dyDescent="0.25">
      <c r="A101" s="12" t="s">
        <v>73</v>
      </c>
    </row>
    <row r="102" spans="1:10" x14ac:dyDescent="0.25">
      <c r="A102" s="14" t="s">
        <v>45</v>
      </c>
      <c r="B102" s="14" t="s">
        <v>162</v>
      </c>
    </row>
    <row r="103" spans="1:10" x14ac:dyDescent="0.25">
      <c r="B103" s="35" t="s">
        <v>63</v>
      </c>
      <c r="C103" s="35" t="s">
        <v>64</v>
      </c>
      <c r="I103" s="35" t="s">
        <v>63</v>
      </c>
      <c r="J103" s="35" t="s">
        <v>64</v>
      </c>
    </row>
    <row r="104" spans="1:10" x14ac:dyDescent="0.25">
      <c r="A104" s="24" t="s">
        <v>55</v>
      </c>
      <c r="B104" s="25">
        <v>7.6601257813868962E-5</v>
      </c>
      <c r="C104" s="25">
        <v>2.3473446197864472E-4</v>
      </c>
      <c r="D104" s="17">
        <v>0.24604069801216205</v>
      </c>
      <c r="E104" s="17">
        <v>0.753959301987838</v>
      </c>
      <c r="F104" s="33">
        <f>B104+C104</f>
        <v>3.1133571979251366E-4</v>
      </c>
      <c r="G104" s="14" t="str">
        <f>TEXT(F104,"MM:SS")&amp;" m:s"</f>
        <v>00:27 m:s</v>
      </c>
      <c r="I104" s="14" t="str">
        <f>TEXT(B104,"m:ss")&amp;CHAR(10)</f>
        <v xml:space="preserve">0:07
</v>
      </c>
      <c r="J104" s="14" t="str">
        <f>TEXT(C104,"m:ss")&amp;CHAR(10)</f>
        <v xml:space="preserve">0:20
</v>
      </c>
    </row>
    <row r="105" spans="1:10" x14ac:dyDescent="0.25">
      <c r="A105" s="14" t="s">
        <v>162</v>
      </c>
      <c r="B105" s="25">
        <v>0</v>
      </c>
      <c r="C105" s="25">
        <v>1.1831275720164609E-3</v>
      </c>
      <c r="D105" s="17">
        <v>0</v>
      </c>
      <c r="E105" s="17">
        <v>1</v>
      </c>
      <c r="F105" s="33">
        <f>B105+C105</f>
        <v>1.1831275720164609E-3</v>
      </c>
      <c r="G105" s="14" t="str">
        <f>TEXT(F105,"MM:SS")&amp;" m:s"</f>
        <v>01:42 m:s</v>
      </c>
      <c r="I105" s="14" t="str">
        <f>TEXT(B105,"m:ss")&amp;CHAR(10)</f>
        <v xml:space="preserve">0:00
</v>
      </c>
      <c r="J105" s="14" t="str">
        <f>TEXT(C105,"m:ss")&amp;CHAR(10)</f>
        <v xml:space="preserve">1:42
</v>
      </c>
    </row>
    <row r="111" spans="1:10" s="11" customFormat="1" x14ac:dyDescent="0.25">
      <c r="A111" s="12" t="s">
        <v>74</v>
      </c>
    </row>
    <row r="112" spans="1:10" x14ac:dyDescent="0.25">
      <c r="A112" s="14" t="s">
        <v>45</v>
      </c>
      <c r="B112" s="14" t="s">
        <v>162</v>
      </c>
      <c r="C112" s="38" t="s">
        <v>66</v>
      </c>
      <c r="D112" s="39">
        <v>1.7361111111111112E-4</v>
      </c>
    </row>
    <row r="113" spans="1:4" x14ac:dyDescent="0.25">
      <c r="A113" s="14" t="s">
        <v>46</v>
      </c>
      <c r="B113" s="27">
        <v>3.407921810699588E-4</v>
      </c>
      <c r="C113" s="14" t="str">
        <f>TEXT(B113,"hh:MM:SS")</f>
        <v>00:00:29</v>
      </c>
    </row>
    <row r="114" spans="1:4" x14ac:dyDescent="0.25">
      <c r="A114" s="16" t="s">
        <v>47</v>
      </c>
      <c r="B114" s="27">
        <v>2.4340482760692563E-4</v>
      </c>
      <c r="C114" s="14" t="str">
        <f>TEXT(B114,"hh:MM:SS")</f>
        <v>00:00:21</v>
      </c>
    </row>
    <row r="115" spans="1:4" x14ac:dyDescent="0.25">
      <c r="A115" s="16" t="s">
        <v>48</v>
      </c>
      <c r="B115" s="27">
        <v>7.6058201058201052E-4</v>
      </c>
    </row>
    <row r="116" spans="1:4" x14ac:dyDescent="0.25">
      <c r="A116" s="16" t="s">
        <v>49</v>
      </c>
      <c r="B116" s="27">
        <v>0</v>
      </c>
    </row>
    <row r="117" spans="1:4" x14ac:dyDescent="0.25">
      <c r="A117" s="14" t="s">
        <v>50</v>
      </c>
      <c r="B117" s="27">
        <v>3.5230402893933363E-4</v>
      </c>
    </row>
    <row r="118" spans="1:4" x14ac:dyDescent="0.25">
      <c r="A118" s="14" t="s">
        <v>51</v>
      </c>
      <c r="B118" s="27">
        <v>1.0230654761904761E-4</v>
      </c>
    </row>
    <row r="121" spans="1:4" s="11" customFormat="1" x14ac:dyDescent="0.25">
      <c r="A121" s="12" t="s">
        <v>75</v>
      </c>
    </row>
    <row r="122" spans="1:4" x14ac:dyDescent="0.25">
      <c r="A122" s="14" t="s">
        <v>45</v>
      </c>
      <c r="B122" s="14" t="s">
        <v>162</v>
      </c>
      <c r="C122" s="38" t="s">
        <v>66</v>
      </c>
      <c r="D122" s="39">
        <v>1.7361111111111112E-4</v>
      </c>
    </row>
    <row r="123" spans="1:4" x14ac:dyDescent="0.25">
      <c r="A123" s="14" t="s">
        <v>46</v>
      </c>
      <c r="B123" s="27">
        <v>1.9290123456790123E-5</v>
      </c>
      <c r="C123" s="14" t="str">
        <f>TEXT(B123,"hh:MM:SS")</f>
        <v>00:00:02</v>
      </c>
    </row>
    <row r="124" spans="1:4" x14ac:dyDescent="0.25">
      <c r="A124" s="16" t="s">
        <v>47</v>
      </c>
      <c r="B124" s="27">
        <v>1.963142536711013E-4</v>
      </c>
      <c r="C124" s="14" t="str">
        <f>TEXT(B124,"hh:MM:SS")</f>
        <v>00:00:17</v>
      </c>
    </row>
    <row r="125" spans="1:4" x14ac:dyDescent="0.25">
      <c r="A125" s="16" t="s">
        <v>48</v>
      </c>
      <c r="B125" s="27">
        <v>8.502492877492878E-4</v>
      </c>
    </row>
    <row r="126" spans="1:4" x14ac:dyDescent="0.25">
      <c r="A126" s="16" t="s">
        <v>49</v>
      </c>
      <c r="B126" s="27">
        <v>0</v>
      </c>
    </row>
    <row r="127" spans="1:4" x14ac:dyDescent="0.25">
      <c r="A127" s="14" t="s">
        <v>50</v>
      </c>
      <c r="B127" s="27">
        <v>3.1886574074074071E-4</v>
      </c>
    </row>
    <row r="128" spans="1:4" x14ac:dyDescent="0.25">
      <c r="A128" s="14" t="s">
        <v>51</v>
      </c>
      <c r="B128" s="27">
        <v>4.6518874643874651E-5</v>
      </c>
    </row>
    <row r="131" spans="1:3" s="11" customFormat="1" x14ac:dyDescent="0.25">
      <c r="A131" s="12" t="s">
        <v>76</v>
      </c>
    </row>
    <row r="132" spans="1:3" x14ac:dyDescent="0.25">
      <c r="A132" s="14" t="s">
        <v>45</v>
      </c>
      <c r="B132" s="14" t="s">
        <v>162</v>
      </c>
    </row>
    <row r="133" spans="1:3" x14ac:dyDescent="0.25">
      <c r="A133" s="14" t="s">
        <v>46</v>
      </c>
      <c r="B133" s="28">
        <v>0.44444444444444442</v>
      </c>
      <c r="C133" s="15" t="str">
        <f>TEXT(B133,"0%")</f>
        <v>44%</v>
      </c>
    </row>
    <row r="134" spans="1:3" x14ac:dyDescent="0.25">
      <c r="A134" s="16" t="s">
        <v>47</v>
      </c>
      <c r="B134" s="28">
        <v>0.53878257160941168</v>
      </c>
      <c r="C134" s="15" t="str">
        <f>TEXT(B134,"0%")</f>
        <v>54%</v>
      </c>
    </row>
    <row r="135" spans="1:3" x14ac:dyDescent="0.25">
      <c r="A135" s="16" t="s">
        <v>48</v>
      </c>
      <c r="B135" s="28">
        <v>1</v>
      </c>
    </row>
    <row r="136" spans="1:3" x14ac:dyDescent="0.25">
      <c r="A136" s="16" t="s">
        <v>49</v>
      </c>
      <c r="B136" s="28">
        <v>0</v>
      </c>
    </row>
    <row r="137" spans="1:3" x14ac:dyDescent="0.25">
      <c r="A137" s="14" t="s">
        <v>50</v>
      </c>
      <c r="B137" s="28">
        <v>0.72249999999999992</v>
      </c>
    </row>
    <row r="138" spans="1:3" x14ac:dyDescent="0.25">
      <c r="A138" s="14" t="s">
        <v>51</v>
      </c>
      <c r="B138" s="28">
        <v>0.33333333333333331</v>
      </c>
    </row>
    <row r="141" spans="1:3" s="11" customFormat="1" x14ac:dyDescent="0.25">
      <c r="A141" s="12" t="s">
        <v>77</v>
      </c>
    </row>
    <row r="142" spans="1:3" x14ac:dyDescent="0.25">
      <c r="A142" s="14" t="s">
        <v>45</v>
      </c>
      <c r="B142" s="14" t="s">
        <v>162</v>
      </c>
    </row>
    <row r="143" spans="1:3" x14ac:dyDescent="0.25">
      <c r="A143" s="14" t="s">
        <v>46</v>
      </c>
      <c r="B143" s="29">
        <v>20.338983050847457</v>
      </c>
      <c r="C143" s="29" t="str">
        <f>TEXT(B143,"#,##0.0")</f>
        <v>20.3</v>
      </c>
    </row>
    <row r="144" spans="1:3" x14ac:dyDescent="0.25">
      <c r="A144" s="16" t="s">
        <v>47</v>
      </c>
      <c r="B144" s="29">
        <v>31.955464639622193</v>
      </c>
      <c r="C144" s="29" t="str">
        <f>TEXT(B144,"0.0")</f>
        <v>32.0</v>
      </c>
    </row>
    <row r="145" spans="1:3" x14ac:dyDescent="0.25">
      <c r="A145" s="16" t="s">
        <v>48</v>
      </c>
      <c r="B145" s="29">
        <v>104.16666666666667</v>
      </c>
    </row>
    <row r="146" spans="1:3" x14ac:dyDescent="0.25">
      <c r="A146" s="16" t="s">
        <v>49</v>
      </c>
      <c r="B146" s="29">
        <v>2.6315789473684212</v>
      </c>
    </row>
    <row r="147" spans="1:3" x14ac:dyDescent="0.25">
      <c r="A147" s="14" t="s">
        <v>50</v>
      </c>
      <c r="B147" s="29">
        <v>43.678160919540225</v>
      </c>
    </row>
    <row r="148" spans="1:3" x14ac:dyDescent="0.25">
      <c r="A148" s="14" t="s">
        <v>51</v>
      </c>
      <c r="B148" s="29">
        <v>18.181818181818183</v>
      </c>
    </row>
    <row r="151" spans="1:3" s="11" customFormat="1" x14ac:dyDescent="0.25">
      <c r="A151" s="12" t="s">
        <v>78</v>
      </c>
    </row>
    <row r="152" spans="1:3" x14ac:dyDescent="0.25">
      <c r="A152" s="14" t="s">
        <v>45</v>
      </c>
      <c r="B152" s="14" t="s">
        <v>162</v>
      </c>
    </row>
    <row r="153" spans="1:3" x14ac:dyDescent="0.25">
      <c r="A153" s="14" t="s">
        <v>46</v>
      </c>
      <c r="B153" s="29">
        <v>111.11111111111111</v>
      </c>
      <c r="C153" s="29" t="str">
        <f>TEXT(B153,"0.0")</f>
        <v>111.1</v>
      </c>
    </row>
    <row r="154" spans="1:3" x14ac:dyDescent="0.25">
      <c r="A154" s="16" t="s">
        <v>47</v>
      </c>
      <c r="B154" s="29">
        <v>119.863872599808</v>
      </c>
      <c r="C154" s="29" t="str">
        <f>TEXT(B154,"0.0")</f>
        <v>119.9</v>
      </c>
    </row>
    <row r="155" spans="1:3" x14ac:dyDescent="0.25">
      <c r="A155" s="16" t="s">
        <v>48</v>
      </c>
      <c r="B155" s="29">
        <v>190</v>
      </c>
    </row>
    <row r="156" spans="1:3" x14ac:dyDescent="0.25">
      <c r="A156" s="16" t="s">
        <v>49</v>
      </c>
      <c r="B156" s="29">
        <v>72.727272727272734</v>
      </c>
    </row>
    <row r="157" spans="1:3" x14ac:dyDescent="0.25">
      <c r="A157" s="14" t="s">
        <v>50</v>
      </c>
      <c r="B157" s="29">
        <v>133.33333333333334</v>
      </c>
    </row>
    <row r="158" spans="1:3" x14ac:dyDescent="0.25">
      <c r="A158" s="14" t="s">
        <v>51</v>
      </c>
      <c r="B158" s="29">
        <v>105.57275541795667</v>
      </c>
    </row>
    <row r="161" spans="1:3" s="11" customFormat="1" x14ac:dyDescent="0.25">
      <c r="A161" s="12" t="s">
        <v>79</v>
      </c>
    </row>
    <row r="162" spans="1:3" x14ac:dyDescent="0.25">
      <c r="A162" s="14" t="s">
        <v>45</v>
      </c>
      <c r="B162" s="14" t="s">
        <v>162</v>
      </c>
    </row>
    <row r="163" spans="1:3" x14ac:dyDescent="0.25">
      <c r="A163" s="14" t="s">
        <v>46</v>
      </c>
      <c r="B163" s="29">
        <v>15</v>
      </c>
      <c r="C163" s="29" t="str">
        <f>TEXT(B163,"0")</f>
        <v>15</v>
      </c>
    </row>
    <row r="164" spans="1:3" x14ac:dyDescent="0.25">
      <c r="A164" s="16" t="s">
        <v>47</v>
      </c>
      <c r="B164" s="29">
        <v>4.0896823074171653</v>
      </c>
      <c r="C164" s="29" t="str">
        <f>TEXT(B164,"0")</f>
        <v>4</v>
      </c>
    </row>
    <row r="165" spans="1:3" x14ac:dyDescent="0.25">
      <c r="A165" s="16" t="s">
        <v>48</v>
      </c>
      <c r="B165" s="29">
        <v>23.333333333333332</v>
      </c>
    </row>
    <row r="166" spans="1:3" x14ac:dyDescent="0.25">
      <c r="A166" s="16" t="s">
        <v>49</v>
      </c>
      <c r="B166" s="29">
        <v>0</v>
      </c>
    </row>
    <row r="167" spans="1:3" x14ac:dyDescent="0.25">
      <c r="A167" s="14" t="s">
        <v>50</v>
      </c>
      <c r="B167" s="29">
        <v>8.9583333333333321</v>
      </c>
    </row>
    <row r="168" spans="1:3" x14ac:dyDescent="0.25">
      <c r="A168" s="14" t="s">
        <v>51</v>
      </c>
      <c r="B168" s="29">
        <v>0.16666666666666666</v>
      </c>
    </row>
    <row r="171" spans="1:3" s="11" customFormat="1" x14ac:dyDescent="0.25">
      <c r="A171" s="12" t="s">
        <v>80</v>
      </c>
    </row>
    <row r="172" spans="1:3" x14ac:dyDescent="0.25">
      <c r="A172" s="14" t="s">
        <v>45</v>
      </c>
      <c r="B172" s="14" t="s">
        <v>162</v>
      </c>
    </row>
    <row r="173" spans="1:3" x14ac:dyDescent="0.25">
      <c r="A173" s="14" t="s">
        <v>46</v>
      </c>
      <c r="B173" s="29">
        <v>662.3553544305779</v>
      </c>
      <c r="C173" s="29" t="str">
        <f>TEXT(B173,"0")</f>
        <v>662</v>
      </c>
    </row>
    <row r="174" spans="1:3" x14ac:dyDescent="0.25">
      <c r="A174" s="16" t="s">
        <v>47</v>
      </c>
      <c r="B174" s="29">
        <v>1719.4681307989199</v>
      </c>
      <c r="C174" s="29" t="str">
        <f>TEXT(B174,"0")</f>
        <v>1719</v>
      </c>
    </row>
    <row r="175" spans="1:3" x14ac:dyDescent="0.25">
      <c r="A175" s="16" t="s">
        <v>48</v>
      </c>
      <c r="B175" s="29">
        <v>9993.1702471128774</v>
      </c>
    </row>
    <row r="176" spans="1:3" x14ac:dyDescent="0.25">
      <c r="A176" s="16" t="s">
        <v>49</v>
      </c>
      <c r="B176" s="29">
        <v>0</v>
      </c>
    </row>
    <row r="177" spans="1:10" x14ac:dyDescent="0.25">
      <c r="A177" s="14" t="s">
        <v>50</v>
      </c>
      <c r="B177" s="29">
        <v>3049.1221945595353</v>
      </c>
    </row>
    <row r="178" spans="1:10" x14ac:dyDescent="0.25">
      <c r="A178" s="14" t="s">
        <v>51</v>
      </c>
      <c r="B178" s="29">
        <v>194.82627990042212</v>
      </c>
    </row>
    <row r="181" spans="1:10" s="11" customFormat="1" x14ac:dyDescent="0.25">
      <c r="A181" s="12" t="s">
        <v>81</v>
      </c>
    </row>
    <row r="182" spans="1:10" x14ac:dyDescent="0.25">
      <c r="A182" s="14" t="s">
        <v>45</v>
      </c>
      <c r="B182" s="14" t="s">
        <v>162</v>
      </c>
    </row>
    <row r="183" spans="1:10" x14ac:dyDescent="0.25">
      <c r="B183" s="35" t="s">
        <v>82</v>
      </c>
      <c r="C183" s="35" t="s">
        <v>83</v>
      </c>
      <c r="I183" s="35" t="s">
        <v>82</v>
      </c>
      <c r="J183" s="35" t="s">
        <v>83</v>
      </c>
    </row>
    <row r="184" spans="1:10" x14ac:dyDescent="0.25">
      <c r="A184" s="24" t="s">
        <v>55</v>
      </c>
      <c r="B184" s="25">
        <v>1.3461835752566842E-3</v>
      </c>
      <c r="C184" s="25">
        <v>1.4811174959867706E-3</v>
      </c>
      <c r="D184" s="17">
        <v>0.47613732720181406</v>
      </c>
      <c r="E184" s="17">
        <v>0.52386267279818599</v>
      </c>
      <c r="F184" s="33">
        <f>B184+C184</f>
        <v>2.8273010712434547E-3</v>
      </c>
      <c r="G184" s="14" t="str">
        <f>TEXT(F184,"MM:SS")</f>
        <v>04:04</v>
      </c>
      <c r="I184" s="14" t="str">
        <f>TEXT(B184,"mm:ss")&amp;" ("&amp;TEXT(D184,"#%")&amp;")"</f>
        <v>01:56 (48%)</v>
      </c>
      <c r="J184" s="14" t="str">
        <f>TEXT(C184,"mm:ss")&amp;" ("&amp;TEXT(E184,"#%")&amp;")"</f>
        <v>02:08 (52%)</v>
      </c>
    </row>
    <row r="185" spans="1:10" x14ac:dyDescent="0.25">
      <c r="A185" s="14" t="s">
        <v>162</v>
      </c>
      <c r="B185" s="25">
        <v>1.7551762446002407E-3</v>
      </c>
      <c r="C185" s="25">
        <v>3.0996925804526186E-4</v>
      </c>
      <c r="D185" s="17">
        <v>0.84990439770554493</v>
      </c>
      <c r="E185" s="17">
        <v>0.15009560229445507</v>
      </c>
      <c r="F185" s="33">
        <f>B185+C185</f>
        <v>2.0651455026455025E-3</v>
      </c>
      <c r="G185" s="14" t="str">
        <f>TEXT(F185,"MM:SS")</f>
        <v>02:58</v>
      </c>
      <c r="I185" s="14" t="str">
        <f>TEXT(B185,"mm:ss")&amp;" ("&amp;TEXT(D185,"#%")&amp;")"</f>
        <v>02:32 (85%)</v>
      </c>
      <c r="J185" s="14" t="str">
        <f>TEXT(C185,"mm:ss")&amp;" ("&amp;TEXT(E185,"#%")&amp;")"</f>
        <v>00:27 (15%)</v>
      </c>
    </row>
    <row r="191" spans="1:10" s="11" customFormat="1" x14ac:dyDescent="0.25">
      <c r="A191" s="12" t="s">
        <v>84</v>
      </c>
    </row>
    <row r="192" spans="1:10" x14ac:dyDescent="0.25">
      <c r="A192" s="14" t="s">
        <v>45</v>
      </c>
      <c r="B192" s="14" t="s">
        <v>162</v>
      </c>
    </row>
    <row r="193" spans="1:13" x14ac:dyDescent="0.25">
      <c r="A193" s="14" t="s">
        <v>46</v>
      </c>
      <c r="B193" s="29">
        <v>1</v>
      </c>
      <c r="C193" s="29" t="str">
        <f>TEXT(B193,"0.0")</f>
        <v>1.0</v>
      </c>
    </row>
    <row r="194" spans="1:13" x14ac:dyDescent="0.25">
      <c r="A194" s="16" t="s">
        <v>47</v>
      </c>
      <c r="B194" s="29">
        <v>1.1812025969601181</v>
      </c>
      <c r="C194" s="29" t="str">
        <f>TEXT(B194,"0.0")</f>
        <v>1.2</v>
      </c>
    </row>
    <row r="195" spans="1:13" x14ac:dyDescent="0.25">
      <c r="A195" s="16" t="s">
        <v>48</v>
      </c>
      <c r="B195" s="29">
        <v>2.48</v>
      </c>
    </row>
    <row r="196" spans="1:13" x14ac:dyDescent="0.25">
      <c r="A196" s="16" t="s">
        <v>49</v>
      </c>
      <c r="B196" s="29">
        <v>0</v>
      </c>
    </row>
    <row r="197" spans="1:13" x14ac:dyDescent="0.25">
      <c r="A197" s="14" t="s">
        <v>50</v>
      </c>
      <c r="B197" s="29">
        <v>1.5847701149425286</v>
      </c>
    </row>
    <row r="198" spans="1:13" x14ac:dyDescent="0.25">
      <c r="A198" s="14" t="s">
        <v>51</v>
      </c>
      <c r="B198" s="29">
        <v>0.81606765327695563</v>
      </c>
    </row>
    <row r="201" spans="1:13" s="11" customFormat="1" x14ac:dyDescent="0.25">
      <c r="A201" s="12" t="s">
        <v>85</v>
      </c>
    </row>
    <row r="202" spans="1:13" x14ac:dyDescent="0.25">
      <c r="A202" s="14" t="s">
        <v>45</v>
      </c>
      <c r="B202" s="14" t="s">
        <v>162</v>
      </c>
    </row>
    <row r="203" spans="1:13" x14ac:dyDescent="0.25">
      <c r="B203" s="14" t="s">
        <v>86</v>
      </c>
      <c r="C203" s="14" t="s">
        <v>87</v>
      </c>
      <c r="D203" s="14" t="s">
        <v>88</v>
      </c>
      <c r="E203" s="14" t="s">
        <v>89</v>
      </c>
      <c r="F203" s="14" t="s">
        <v>90</v>
      </c>
      <c r="I203" s="14" t="s">
        <v>86</v>
      </c>
      <c r="J203" s="14" t="s">
        <v>87</v>
      </c>
      <c r="K203" s="14" t="s">
        <v>88</v>
      </c>
      <c r="L203" s="14" t="s">
        <v>89</v>
      </c>
      <c r="M203" s="14" t="s">
        <v>90</v>
      </c>
    </row>
    <row r="204" spans="1:13" x14ac:dyDescent="0.25">
      <c r="A204" s="14" t="s">
        <v>91</v>
      </c>
      <c r="B204" s="15">
        <v>0.28205128205128205</v>
      </c>
      <c r="C204" s="15">
        <v>0.25</v>
      </c>
      <c r="D204" s="15">
        <v>0.4</v>
      </c>
      <c r="E204" s="15">
        <v>0.125</v>
      </c>
      <c r="F204" s="15">
        <v>0.23333333333333334</v>
      </c>
      <c r="H204" s="14" t="s">
        <v>91</v>
      </c>
      <c r="I204" s="15">
        <v>0.64013731275223673</v>
      </c>
      <c r="J204" s="15">
        <v>0.74632032499116463</v>
      </c>
      <c r="K204" s="15">
        <v>0.56143083880180522</v>
      </c>
      <c r="L204" s="15">
        <v>0.48431622877464686</v>
      </c>
      <c r="M204" s="15">
        <v>0.37094228012288449</v>
      </c>
    </row>
    <row r="205" spans="1:13" x14ac:dyDescent="0.25">
      <c r="A205" s="14" t="s">
        <v>92</v>
      </c>
      <c r="B205" s="15">
        <v>0.17948717948717949</v>
      </c>
      <c r="C205" s="15">
        <v>0</v>
      </c>
      <c r="D205" s="15">
        <v>0.13333333333333333</v>
      </c>
      <c r="E205" s="15">
        <v>0.25</v>
      </c>
      <c r="F205" s="15">
        <v>0.1</v>
      </c>
      <c r="H205" s="14" t="s">
        <v>92</v>
      </c>
      <c r="I205" s="15">
        <v>7.6225696783177505E-2</v>
      </c>
      <c r="J205" s="15">
        <v>4.8156098697189224E-2</v>
      </c>
      <c r="K205" s="15">
        <v>0.36024205285351124</v>
      </c>
      <c r="L205" s="15">
        <v>0.11912101472630435</v>
      </c>
      <c r="M205" s="15">
        <v>0.14791992241389451</v>
      </c>
    </row>
    <row r="206" spans="1:13" x14ac:dyDescent="0.25">
      <c r="A206" s="14" t="s">
        <v>93</v>
      </c>
      <c r="B206" s="15">
        <v>0.17948717948717949</v>
      </c>
      <c r="C206" s="15">
        <v>0.25</v>
      </c>
      <c r="D206" s="15">
        <v>0.16666666666666666</v>
      </c>
      <c r="E206" s="15">
        <v>0.625</v>
      </c>
      <c r="F206" s="15">
        <v>0.53333333333333333</v>
      </c>
      <c r="H206" s="14" t="s">
        <v>93</v>
      </c>
      <c r="I206" s="15">
        <v>0.24423471863777518</v>
      </c>
      <c r="J206" s="15">
        <v>0.17076156877278389</v>
      </c>
      <c r="K206" s="15">
        <v>1.1525327610053822E-2</v>
      </c>
      <c r="L206" s="15">
        <v>0.37393247988923856</v>
      </c>
      <c r="M206" s="15">
        <v>0.44189131607167575</v>
      </c>
    </row>
    <row r="207" spans="1:13" x14ac:dyDescent="0.25">
      <c r="A207" s="14" t="s">
        <v>94</v>
      </c>
      <c r="B207" s="15">
        <v>0.35897435897435898</v>
      </c>
      <c r="C207" s="15">
        <v>0.5</v>
      </c>
      <c r="D207" s="15">
        <v>0.3</v>
      </c>
      <c r="E207" s="15">
        <v>0</v>
      </c>
      <c r="F207" s="15">
        <v>0.13333333333333333</v>
      </c>
      <c r="H207" s="14" t="s">
        <v>94</v>
      </c>
      <c r="I207" s="15">
        <v>3.9402271826810602E-2</v>
      </c>
      <c r="J207" s="15">
        <v>3.4762007538862258E-2</v>
      </c>
      <c r="K207" s="15">
        <v>6.6801780734629737E-2</v>
      </c>
      <c r="L207" s="15">
        <v>2.2630276609810235E-2</v>
      </c>
      <c r="M207" s="15">
        <v>3.9246481391545136E-2</v>
      </c>
    </row>
    <row r="211" spans="1:3" s="11" customFormat="1" x14ac:dyDescent="0.25">
      <c r="A211" s="12" t="s">
        <v>95</v>
      </c>
    </row>
    <row r="212" spans="1:3" x14ac:dyDescent="0.25">
      <c r="A212" s="14" t="s">
        <v>45</v>
      </c>
      <c r="B212" s="14" t="s">
        <v>162</v>
      </c>
    </row>
    <row r="213" spans="1:3" x14ac:dyDescent="0.25">
      <c r="B213" s="24" t="s">
        <v>55</v>
      </c>
      <c r="C213" s="14" t="str">
        <f>B212</f>
        <v>MHN</v>
      </c>
    </row>
    <row r="214" spans="1:3" x14ac:dyDescent="0.25">
      <c r="A214" s="14" t="s">
        <v>91</v>
      </c>
      <c r="B214" s="15">
        <v>0.4703901258603736</v>
      </c>
      <c r="C214" s="15">
        <v>0.31818181818181818</v>
      </c>
    </row>
    <row r="215" spans="1:3" x14ac:dyDescent="0.25">
      <c r="A215" s="14" t="s">
        <v>92</v>
      </c>
      <c r="B215" s="15">
        <v>0.10650526117440585</v>
      </c>
      <c r="C215" s="15">
        <v>0.31818181818181818</v>
      </c>
    </row>
    <row r="216" spans="1:3" x14ac:dyDescent="0.25">
      <c r="A216" s="14" t="s">
        <v>93</v>
      </c>
      <c r="B216" s="15">
        <v>0.3778735728911119</v>
      </c>
      <c r="C216" s="15">
        <v>0.36363636363636365</v>
      </c>
    </row>
    <row r="217" spans="1:3" x14ac:dyDescent="0.25">
      <c r="A217" s="14" t="s">
        <v>94</v>
      </c>
      <c r="B217" s="15">
        <v>4.5231040074108768E-2</v>
      </c>
      <c r="C217" s="15">
        <v>0</v>
      </c>
    </row>
    <row r="221" spans="1:3" s="11" customFormat="1" x14ac:dyDescent="0.25">
      <c r="A221" s="12" t="s">
        <v>96</v>
      </c>
    </row>
    <row r="222" spans="1:3" x14ac:dyDescent="0.25">
      <c r="A222" s="14" t="s">
        <v>45</v>
      </c>
      <c r="B222" s="14" t="s">
        <v>162</v>
      </c>
    </row>
    <row r="223" spans="1:3" x14ac:dyDescent="0.25">
      <c r="A223" s="14" t="s">
        <v>46</v>
      </c>
      <c r="B223" s="28">
        <v>0.35839160839160833</v>
      </c>
      <c r="C223" s="15" t="str">
        <f>TEXT(B223,"0%")</f>
        <v>36%</v>
      </c>
    </row>
    <row r="224" spans="1:3" x14ac:dyDescent="0.25">
      <c r="A224" s="16" t="s">
        <v>47</v>
      </c>
      <c r="B224" s="28">
        <v>0.4878464638124827</v>
      </c>
      <c r="C224" s="15" t="str">
        <f>TEXT(B224,"0%")</f>
        <v>49%</v>
      </c>
    </row>
    <row r="225" spans="1:3" x14ac:dyDescent="0.25">
      <c r="A225" s="16" t="s">
        <v>48</v>
      </c>
      <c r="B225" s="28">
        <v>0.91517491286828034</v>
      </c>
    </row>
    <row r="226" spans="1:3" x14ac:dyDescent="0.25">
      <c r="A226" s="16" t="s">
        <v>49</v>
      </c>
      <c r="B226" s="28">
        <v>3.7415780141843977E-2</v>
      </c>
    </row>
    <row r="227" spans="1:3" x14ac:dyDescent="0.25">
      <c r="A227" s="14" t="s">
        <v>50</v>
      </c>
      <c r="B227" s="28">
        <v>0.65585660058300577</v>
      </c>
    </row>
    <row r="228" spans="1:3" x14ac:dyDescent="0.25">
      <c r="A228" s="14" t="s">
        <v>51</v>
      </c>
      <c r="B228" s="28">
        <v>0.33517279820234225</v>
      </c>
    </row>
    <row r="231" spans="1:3" s="11" customFormat="1" x14ac:dyDescent="0.25">
      <c r="A231" s="12" t="s">
        <v>97</v>
      </c>
    </row>
    <row r="232" spans="1:3" x14ac:dyDescent="0.25">
      <c r="A232" s="14" t="s">
        <v>45</v>
      </c>
      <c r="B232" s="14" t="s">
        <v>162</v>
      </c>
    </row>
    <row r="233" spans="1:3" x14ac:dyDescent="0.25">
      <c r="A233" s="14" t="s">
        <v>46</v>
      </c>
      <c r="B233" s="29">
        <v>11.620269375975051</v>
      </c>
      <c r="C233" s="29" t="str">
        <f>TEXT(B233,"0.0")</f>
        <v>11.6</v>
      </c>
    </row>
    <row r="234" spans="1:3" x14ac:dyDescent="0.25">
      <c r="A234" s="16" t="s">
        <v>47</v>
      </c>
      <c r="B234" s="29">
        <v>7.7585298675807293</v>
      </c>
      <c r="C234" s="29" t="str">
        <f>TEXT(B234,"0.0")</f>
        <v>7.8</v>
      </c>
    </row>
    <row r="235" spans="1:3" x14ac:dyDescent="0.25">
      <c r="A235" s="16" t="s">
        <v>48</v>
      </c>
      <c r="B235" s="29">
        <v>16.066295963664466</v>
      </c>
    </row>
    <row r="236" spans="1:3" x14ac:dyDescent="0.25">
      <c r="A236" s="16" t="s">
        <v>49</v>
      </c>
      <c r="B236" s="29">
        <v>3.9078505711936384</v>
      </c>
    </row>
    <row r="237" spans="1:3" x14ac:dyDescent="0.25">
      <c r="A237" s="14" t="s">
        <v>50</v>
      </c>
      <c r="B237" s="29">
        <v>9.8475283795405559</v>
      </c>
    </row>
    <row r="238" spans="1:3" x14ac:dyDescent="0.25">
      <c r="A238" s="14" t="s">
        <v>51</v>
      </c>
      <c r="B238" s="29">
        <v>5.733454629635407</v>
      </c>
    </row>
    <row r="241" spans="1:3" s="11" customFormat="1" x14ac:dyDescent="0.25">
      <c r="A241" s="12" t="s">
        <v>98</v>
      </c>
    </row>
    <row r="242" spans="1:3" x14ac:dyDescent="0.25">
      <c r="A242" s="14" t="s">
        <v>45</v>
      </c>
      <c r="B242" s="14" t="s">
        <v>162</v>
      </c>
    </row>
    <row r="243" spans="1:3" x14ac:dyDescent="0.25">
      <c r="B243" s="24" t="s">
        <v>55</v>
      </c>
      <c r="C243" s="14" t="str">
        <f>B242</f>
        <v>MHN</v>
      </c>
    </row>
    <row r="244" spans="1:3" x14ac:dyDescent="0.25">
      <c r="A244" s="14" t="s">
        <v>91</v>
      </c>
      <c r="B244" s="15">
        <v>0.45118959014037779</v>
      </c>
      <c r="C244" s="15">
        <v>0.25531914893617019</v>
      </c>
    </row>
    <row r="245" spans="1:3" x14ac:dyDescent="0.25">
      <c r="A245" s="14" t="s">
        <v>92</v>
      </c>
      <c r="B245" s="15">
        <v>0.2170164869172099</v>
      </c>
      <c r="C245" s="15">
        <v>0.24822695035460993</v>
      </c>
    </row>
    <row r="246" spans="1:3" x14ac:dyDescent="0.25">
      <c r="A246" s="14" t="s">
        <v>93</v>
      </c>
      <c r="B246" s="15">
        <v>0.26756337950969766</v>
      </c>
      <c r="C246" s="15">
        <v>0.3546099290780142</v>
      </c>
    </row>
    <row r="247" spans="1:3" x14ac:dyDescent="0.25">
      <c r="A247" s="14" t="s">
        <v>94</v>
      </c>
      <c r="B247" s="15">
        <v>6.4230543432714393E-2</v>
      </c>
      <c r="C247" s="15">
        <v>0.14184397163120568</v>
      </c>
    </row>
    <row r="251" spans="1:3" s="11" customFormat="1" x14ac:dyDescent="0.25">
      <c r="A251" s="12" t="s">
        <v>99</v>
      </c>
    </row>
    <row r="252" spans="1:3" x14ac:dyDescent="0.25">
      <c r="A252" s="14" t="s">
        <v>45</v>
      </c>
      <c r="B252" s="14" t="s">
        <v>162</v>
      </c>
    </row>
    <row r="253" spans="1:3" x14ac:dyDescent="0.25">
      <c r="A253" s="14" t="s">
        <v>46</v>
      </c>
      <c r="B253" s="29">
        <v>17.28</v>
      </c>
      <c r="C253" s="43" t="str">
        <f>TEXT(B253,"$#,##0.00")</f>
        <v>$17.28</v>
      </c>
    </row>
    <row r="254" spans="1:3" x14ac:dyDescent="0.25">
      <c r="A254" s="16" t="s">
        <v>47</v>
      </c>
      <c r="B254" s="29">
        <v>22.45</v>
      </c>
      <c r="C254" s="43" t="str">
        <f>TEXT(B254,"$#,##0.00")</f>
        <v>$22.45</v>
      </c>
    </row>
    <row r="255" spans="1:3" x14ac:dyDescent="0.25">
      <c r="A255" s="16" t="s">
        <v>48</v>
      </c>
      <c r="B255" s="29">
        <v>65.180000000000007</v>
      </c>
    </row>
    <row r="256" spans="1:3" x14ac:dyDescent="0.25">
      <c r="A256" s="16" t="s">
        <v>49</v>
      </c>
      <c r="B256" s="29">
        <v>5.67</v>
      </c>
    </row>
    <row r="257" spans="1:3" x14ac:dyDescent="0.25">
      <c r="A257" s="14" t="s">
        <v>50</v>
      </c>
      <c r="B257" s="29">
        <v>31.03</v>
      </c>
    </row>
    <row r="258" spans="1:3" x14ac:dyDescent="0.25">
      <c r="A258" s="14" t="s">
        <v>51</v>
      </c>
      <c r="B258" s="29">
        <v>13.59</v>
      </c>
    </row>
    <row r="261" spans="1:3" s="11" customFormat="1" x14ac:dyDescent="0.25">
      <c r="A261" s="12" t="s">
        <v>100</v>
      </c>
    </row>
    <row r="262" spans="1:3" x14ac:dyDescent="0.25">
      <c r="A262" s="14" t="s">
        <v>45</v>
      </c>
      <c r="B262" s="14" t="s">
        <v>162</v>
      </c>
    </row>
    <row r="263" spans="1:3" x14ac:dyDescent="0.25">
      <c r="A263" s="14" t="s">
        <v>46</v>
      </c>
      <c r="B263" s="28">
        <v>3.2112612321417044E-2</v>
      </c>
      <c r="C263" s="15" t="str">
        <f>TEXT(B263,"0.0%")</f>
        <v>3.2%</v>
      </c>
    </row>
    <row r="264" spans="1:3" x14ac:dyDescent="0.25">
      <c r="A264" s="16" t="s">
        <v>47</v>
      </c>
      <c r="B264" s="28">
        <v>1.5353085607801025E-2</v>
      </c>
      <c r="C264" s="15" t="str">
        <f>TEXT(B264,"0.0%")</f>
        <v>1.5%</v>
      </c>
    </row>
    <row r="265" spans="1:3" x14ac:dyDescent="0.25">
      <c r="A265" s="16" t="s">
        <v>48</v>
      </c>
      <c r="B265" s="28">
        <v>0.4728480087365472</v>
      </c>
    </row>
    <row r="266" spans="1:3" x14ac:dyDescent="0.25">
      <c r="A266" s="16" t="s">
        <v>49</v>
      </c>
      <c r="B266" s="28">
        <v>-0.12902915331235143</v>
      </c>
    </row>
    <row r="267" spans="1:3" x14ac:dyDescent="0.25">
      <c r="A267" s="14" t="s">
        <v>50</v>
      </c>
      <c r="B267" s="28">
        <v>4.247362813924771E-2</v>
      </c>
    </row>
    <row r="268" spans="1:3" x14ac:dyDescent="0.25">
      <c r="A268" s="14" t="s">
        <v>51</v>
      </c>
      <c r="B268" s="28">
        <v>-7.2890396740067254E-2</v>
      </c>
    </row>
    <row r="271" spans="1:3" s="11" customFormat="1" x14ac:dyDescent="0.25">
      <c r="A271" s="12" t="s">
        <v>101</v>
      </c>
    </row>
    <row r="272" spans="1:3" x14ac:dyDescent="0.25">
      <c r="A272" s="14" t="s">
        <v>45</v>
      </c>
      <c r="B272" s="14" t="s">
        <v>162</v>
      </c>
    </row>
    <row r="273" spans="1:3" x14ac:dyDescent="0.25">
      <c r="A273" s="14" t="s">
        <v>46</v>
      </c>
      <c r="B273" s="28">
        <v>1.4862835006719921E-2</v>
      </c>
      <c r="C273" s="15" t="str">
        <f>TEXT(B273,"0.0%")</f>
        <v>1.5%</v>
      </c>
    </row>
    <row r="274" spans="1:3" x14ac:dyDescent="0.25">
      <c r="A274" s="16" t="s">
        <v>47</v>
      </c>
      <c r="B274" s="28">
        <v>1.87451348937577E-2</v>
      </c>
      <c r="C274" s="15" t="str">
        <f>TEXT(B274,"0.0%")</f>
        <v>1.9%</v>
      </c>
    </row>
    <row r="275" spans="1:3" x14ac:dyDescent="0.25">
      <c r="A275" s="16" t="s">
        <v>48</v>
      </c>
      <c r="B275" s="28">
        <v>1.1631730229949522</v>
      </c>
    </row>
    <row r="276" spans="1:3" x14ac:dyDescent="0.25">
      <c r="A276" s="16" t="s">
        <v>49</v>
      </c>
      <c r="B276" s="28">
        <v>-0.13482176185143713</v>
      </c>
    </row>
    <row r="277" spans="1:3" x14ac:dyDescent="0.25">
      <c r="A277" s="14" t="s">
        <v>50</v>
      </c>
      <c r="B277" s="28">
        <v>5.2814904986970612E-2</v>
      </c>
    </row>
    <row r="278" spans="1:3" x14ac:dyDescent="0.25">
      <c r="A278" s="14" t="s">
        <v>51</v>
      </c>
      <c r="B278" s="28">
        <v>-7.4698182909040955E-2</v>
      </c>
    </row>
    <row r="281" spans="1:3" s="11" customFormat="1" x14ac:dyDescent="0.25">
      <c r="A281" s="12" t="s">
        <v>102</v>
      </c>
    </row>
    <row r="282" spans="1:3" x14ac:dyDescent="0.25">
      <c r="A282" s="14" t="s">
        <v>45</v>
      </c>
      <c r="B282" s="14" t="s">
        <v>162</v>
      </c>
    </row>
    <row r="283" spans="1:3" x14ac:dyDescent="0.25">
      <c r="A283" s="14" t="s">
        <v>46</v>
      </c>
      <c r="B283" s="29">
        <v>4.355087288597927</v>
      </c>
      <c r="C283" s="29" t="str">
        <f>TEXT(B283,"0.0")</f>
        <v>4.4</v>
      </c>
    </row>
    <row r="284" spans="1:3" x14ac:dyDescent="0.25">
      <c r="A284" s="16" t="s">
        <v>47</v>
      </c>
      <c r="B284" s="29">
        <v>7.1136197518982307</v>
      </c>
      <c r="C284" s="29" t="str">
        <f>TEXT(B284,"0.0")</f>
        <v>7.1</v>
      </c>
    </row>
    <row r="285" spans="1:3" x14ac:dyDescent="0.25">
      <c r="A285" s="16" t="s">
        <v>48</v>
      </c>
      <c r="B285" s="29">
        <v>12.950159308147473</v>
      </c>
    </row>
    <row r="286" spans="1:3" x14ac:dyDescent="0.25">
      <c r="A286" s="16" t="s">
        <v>49</v>
      </c>
      <c r="B286" s="29">
        <v>3.1499038461538462</v>
      </c>
    </row>
    <row r="287" spans="1:3" x14ac:dyDescent="0.25">
      <c r="A287" s="14" t="s">
        <v>50</v>
      </c>
      <c r="B287" s="29">
        <v>8.846016010354246</v>
      </c>
    </row>
    <row r="288" spans="1:3" x14ac:dyDescent="0.25">
      <c r="A288" s="14" t="s">
        <v>51</v>
      </c>
      <c r="B288" s="29">
        <v>5.1391107634705939</v>
      </c>
    </row>
    <row r="291" spans="1:3" s="11" customFormat="1" x14ac:dyDescent="0.25">
      <c r="A291" s="12" t="s">
        <v>103</v>
      </c>
    </row>
    <row r="292" spans="1:3" x14ac:dyDescent="0.25">
      <c r="A292" s="14" t="s">
        <v>45</v>
      </c>
      <c r="B292" s="14" t="s">
        <v>162</v>
      </c>
    </row>
    <row r="293" spans="1:3" x14ac:dyDescent="0.25">
      <c r="A293" s="14" t="s">
        <v>46</v>
      </c>
      <c r="B293" s="29">
        <v>6.98</v>
      </c>
      <c r="C293" s="43" t="str">
        <f>TEXT(B293,"$#,##0.00")</f>
        <v>$6.98</v>
      </c>
    </row>
    <row r="294" spans="1:3" x14ac:dyDescent="0.25">
      <c r="A294" s="16" t="s">
        <v>47</v>
      </c>
      <c r="B294" s="29">
        <v>5.1100000000000003</v>
      </c>
      <c r="C294" s="43" t="str">
        <f>TEXT(B294,"$#,##0.00")</f>
        <v>$5.11</v>
      </c>
    </row>
    <row r="295" spans="1:3" x14ac:dyDescent="0.25">
      <c r="A295" s="16" t="s">
        <v>48</v>
      </c>
      <c r="B295" s="29">
        <v>10.74</v>
      </c>
    </row>
    <row r="296" spans="1:3" x14ac:dyDescent="0.25">
      <c r="A296" s="16" t="s">
        <v>49</v>
      </c>
      <c r="B296" s="29">
        <v>2.83</v>
      </c>
    </row>
    <row r="297" spans="1:3" x14ac:dyDescent="0.25">
      <c r="A297" s="14" t="s">
        <v>50</v>
      </c>
      <c r="B297" s="29">
        <v>6.31</v>
      </c>
    </row>
    <row r="298" spans="1:3" x14ac:dyDescent="0.25">
      <c r="A298" s="14" t="s">
        <v>51</v>
      </c>
      <c r="B298" s="29">
        <v>3.86</v>
      </c>
    </row>
    <row r="301" spans="1:3" s="11" customFormat="1" x14ac:dyDescent="0.25">
      <c r="A301" s="12" t="s">
        <v>104</v>
      </c>
    </row>
    <row r="302" spans="1:3" x14ac:dyDescent="0.25">
      <c r="A302" s="14" t="s">
        <v>45</v>
      </c>
      <c r="B302" s="14" t="s">
        <v>162</v>
      </c>
    </row>
    <row r="303" spans="1:3" x14ac:dyDescent="0.25">
      <c r="A303" s="14" t="s">
        <v>46</v>
      </c>
      <c r="B303" s="29">
        <v>1.2778291029234454</v>
      </c>
      <c r="C303" s="43" t="str">
        <f>TEXT(B303,"0.0")</f>
        <v>1.3</v>
      </c>
    </row>
    <row r="304" spans="1:3" x14ac:dyDescent="0.25">
      <c r="A304" s="16" t="s">
        <v>47</v>
      </c>
      <c r="B304" s="29">
        <v>1.8700345993578436</v>
      </c>
      <c r="C304" s="43" t="str">
        <f>TEXT(B304,"0.0")</f>
        <v>1.9</v>
      </c>
    </row>
    <row r="305" spans="1:3" x14ac:dyDescent="0.25">
      <c r="A305" s="16" t="s">
        <v>48</v>
      </c>
      <c r="B305" s="29">
        <v>4.9746357493074314</v>
      </c>
    </row>
    <row r="306" spans="1:3" x14ac:dyDescent="0.25">
      <c r="A306" s="16" t="s">
        <v>49</v>
      </c>
      <c r="B306" s="29">
        <v>0.47931063077008124</v>
      </c>
    </row>
    <row r="307" spans="1:3" x14ac:dyDescent="0.25">
      <c r="A307" s="14" t="s">
        <v>50</v>
      </c>
      <c r="B307" s="29">
        <v>2.5234802807697512</v>
      </c>
    </row>
    <row r="308" spans="1:3" x14ac:dyDescent="0.25">
      <c r="A308" s="14" t="s">
        <v>51</v>
      </c>
      <c r="B308" s="29">
        <v>1.1717826850929027</v>
      </c>
    </row>
    <row r="311" spans="1:3" s="11" customFormat="1" x14ac:dyDescent="0.25">
      <c r="A311" s="12" t="s">
        <v>105</v>
      </c>
    </row>
    <row r="312" spans="1:3" x14ac:dyDescent="0.25">
      <c r="A312" s="14" t="s">
        <v>45</v>
      </c>
      <c r="B312" s="14" t="s">
        <v>162</v>
      </c>
    </row>
    <row r="313" spans="1:3" x14ac:dyDescent="0.25">
      <c r="A313" s="14" t="s">
        <v>46</v>
      </c>
      <c r="B313" s="29">
        <v>13.53</v>
      </c>
      <c r="C313" s="43" t="str">
        <f>TEXT(B313,"$#,##0.00")</f>
        <v>$13.53</v>
      </c>
    </row>
    <row r="314" spans="1:3" x14ac:dyDescent="0.25">
      <c r="A314" s="16" t="s">
        <v>47</v>
      </c>
      <c r="B314" s="29">
        <v>12.12</v>
      </c>
      <c r="C314" s="43" t="str">
        <f>TEXT(B314,"$#,##0.00")</f>
        <v>$12.12</v>
      </c>
    </row>
    <row r="315" spans="1:3" x14ac:dyDescent="0.25">
      <c r="A315" s="16" t="s">
        <v>48</v>
      </c>
      <c r="B315" s="29">
        <v>25.03</v>
      </c>
    </row>
    <row r="316" spans="1:3" x14ac:dyDescent="0.25">
      <c r="A316" s="16" t="s">
        <v>49</v>
      </c>
      <c r="B316" s="29">
        <v>5.69</v>
      </c>
    </row>
    <row r="317" spans="1:3" x14ac:dyDescent="0.25">
      <c r="A317" s="14" t="s">
        <v>50</v>
      </c>
      <c r="B317" s="29">
        <v>13.76</v>
      </c>
    </row>
    <row r="318" spans="1:3" x14ac:dyDescent="0.25">
      <c r="A318" s="14" t="s">
        <v>51</v>
      </c>
      <c r="B318" s="29">
        <v>10.51</v>
      </c>
    </row>
    <row r="321" spans="1:4" s="11" customFormat="1" x14ac:dyDescent="0.25">
      <c r="A321" s="12" t="s">
        <v>106</v>
      </c>
    </row>
    <row r="322" spans="1:4" x14ac:dyDescent="0.25">
      <c r="A322" s="14" t="s">
        <v>45</v>
      </c>
      <c r="B322" s="14" t="s">
        <v>162</v>
      </c>
    </row>
    <row r="323" spans="1:4" x14ac:dyDescent="0.25">
      <c r="A323" s="14" t="s">
        <v>46</v>
      </c>
      <c r="B323" s="64">
        <v>175.37541299343906</v>
      </c>
      <c r="C323" s="43" t="str">
        <f>TEXT(B323,"0")</f>
        <v>175</v>
      </c>
    </row>
    <row r="324" spans="1:4" x14ac:dyDescent="0.25">
      <c r="A324" s="16" t="s">
        <v>47</v>
      </c>
      <c r="B324" s="64">
        <v>225.13426248570894</v>
      </c>
      <c r="C324" s="65" t="str">
        <f>TEXT(B324,"0")</f>
        <v>225</v>
      </c>
    </row>
    <row r="325" spans="1:4" x14ac:dyDescent="0.25">
      <c r="A325" s="16" t="s">
        <v>48</v>
      </c>
      <c r="B325" s="29">
        <v>1730.1449571020107</v>
      </c>
    </row>
    <row r="326" spans="1:4" x14ac:dyDescent="0.25">
      <c r="A326" s="16" t="s">
        <v>49</v>
      </c>
      <c r="B326" s="29">
        <v>0</v>
      </c>
    </row>
    <row r="327" spans="1:4" x14ac:dyDescent="0.25">
      <c r="A327" s="14" t="s">
        <v>50</v>
      </c>
      <c r="B327" s="29">
        <v>312.74204050063361</v>
      </c>
    </row>
    <row r="328" spans="1:4" x14ac:dyDescent="0.25">
      <c r="A328" s="14" t="s">
        <v>51</v>
      </c>
      <c r="B328" s="29">
        <v>103.33006862623185</v>
      </c>
    </row>
    <row r="331" spans="1:4" s="11" customFormat="1" x14ac:dyDescent="0.25">
      <c r="A331" s="12" t="s">
        <v>107</v>
      </c>
    </row>
    <row r="332" spans="1:4" x14ac:dyDescent="0.25">
      <c r="A332" s="14" t="s">
        <v>45</v>
      </c>
      <c r="B332" s="14" t="s">
        <v>162</v>
      </c>
      <c r="C332" s="38" t="s">
        <v>66</v>
      </c>
      <c r="D332" s="39">
        <v>1.3888888888888889E-3</v>
      </c>
    </row>
    <row r="333" spans="1:4" x14ac:dyDescent="0.25">
      <c r="A333" s="14" t="s">
        <v>46</v>
      </c>
      <c r="B333" s="27">
        <v>2.0651455026455025E-3</v>
      </c>
      <c r="C333" s="14" t="str">
        <f>TEXT(B333,"hh:MM:SS")</f>
        <v>00:02:58</v>
      </c>
    </row>
    <row r="334" spans="1:4" x14ac:dyDescent="0.25">
      <c r="A334" s="16" t="s">
        <v>47</v>
      </c>
      <c r="B334" s="27">
        <v>2.8273010712434568E-3</v>
      </c>
      <c r="C334" s="14" t="str">
        <f>TEXT(B334,"hh:MM:SS")</f>
        <v>00:04:04</v>
      </c>
    </row>
    <row r="335" spans="1:4" x14ac:dyDescent="0.25">
      <c r="A335" s="16" t="s">
        <v>48</v>
      </c>
      <c r="B335" s="27">
        <v>7.5309886499402628E-3</v>
      </c>
    </row>
    <row r="336" spans="1:4" x14ac:dyDescent="0.25">
      <c r="A336" s="16" t="s">
        <v>49</v>
      </c>
      <c r="B336" s="27">
        <v>2.797394852479598E-4</v>
      </c>
    </row>
    <row r="337" spans="1:10" x14ac:dyDescent="0.25">
      <c r="A337" s="14" t="s">
        <v>50</v>
      </c>
      <c r="B337" s="27">
        <v>3.6472746124438836E-3</v>
      </c>
    </row>
    <row r="338" spans="1:10" x14ac:dyDescent="0.25">
      <c r="A338" s="14" t="s">
        <v>51</v>
      </c>
      <c r="B338" s="27">
        <v>1.7237604216770884E-3</v>
      </c>
    </row>
    <row r="341" spans="1:10" s="11" customFormat="1" x14ac:dyDescent="0.25">
      <c r="A341" s="12" t="s">
        <v>108</v>
      </c>
    </row>
    <row r="342" spans="1:10" x14ac:dyDescent="0.25">
      <c r="A342" s="14" t="s">
        <v>45</v>
      </c>
      <c r="B342" s="14" t="s">
        <v>162</v>
      </c>
    </row>
    <row r="343" spans="1:10" x14ac:dyDescent="0.25">
      <c r="B343" s="34" t="s">
        <v>53</v>
      </c>
      <c r="C343" s="34" t="s">
        <v>54</v>
      </c>
      <c r="I343" s="34" t="s">
        <v>53</v>
      </c>
      <c r="J343" s="34" t="s">
        <v>54</v>
      </c>
    </row>
    <row r="344" spans="1:10" x14ac:dyDescent="0.25">
      <c r="A344" s="24" t="s">
        <v>55</v>
      </c>
      <c r="B344" s="25">
        <v>1.1574074074074075E-4</v>
      </c>
      <c r="C344" s="25">
        <v>5.7870370370370373E-5</v>
      </c>
      <c r="D344" s="17">
        <v>0.66666666666666663</v>
      </c>
      <c r="E344" s="17">
        <v>0.33333333333333331</v>
      </c>
      <c r="F344" s="33">
        <f>B344+C344</f>
        <v>1.7361111111111112E-4</v>
      </c>
      <c r="G344" s="14" t="str">
        <f>TEXT(F344,"M:SS")</f>
        <v>0:15</v>
      </c>
      <c r="I344" s="14" t="str">
        <f>TEXT(B344,"mm:ss")&amp;" ("&amp;TEXT(D344,"#%")&amp;")"</f>
        <v>00:10 (67%)</v>
      </c>
      <c r="J344" s="14" t="str">
        <f>TEXT(C344,"mm:ss")&amp;" ("&amp;TEXT(E344,"#%")&amp;")"</f>
        <v>00:05 (33%)</v>
      </c>
    </row>
    <row r="345" spans="1:10" x14ac:dyDescent="0.25">
      <c r="A345" s="14" t="s">
        <v>162</v>
      </c>
      <c r="B345" s="25">
        <v>1.1574074074074075E-4</v>
      </c>
      <c r="C345" s="25">
        <v>5.7870370370370373E-5</v>
      </c>
      <c r="D345" s="17">
        <v>0.66666666666666663</v>
      </c>
      <c r="E345" s="17">
        <v>0.33333333333333331</v>
      </c>
      <c r="F345" s="33">
        <f>B345+C345</f>
        <v>1.7361111111111112E-4</v>
      </c>
      <c r="G345" s="14" t="str">
        <f>TEXT(F345,"M:SS")</f>
        <v>0:15</v>
      </c>
      <c r="I345" s="14" t="str">
        <f>TEXT(B345,"mm:ss")&amp;" ("&amp;TEXT(D345,"#%")&amp;")"</f>
        <v>00:10 (67%)</v>
      </c>
      <c r="J345" s="14" t="str">
        <f>TEXT(C345,"mm:ss")&amp;" ("&amp;TEXT(E345,"#%")&amp;")"</f>
        <v>00:05 (33%)</v>
      </c>
    </row>
    <row r="351" spans="1:10" s="11" customFormat="1" x14ac:dyDescent="0.25">
      <c r="A351" s="12" t="s">
        <v>109</v>
      </c>
    </row>
    <row r="352" spans="1:10" x14ac:dyDescent="0.25">
      <c r="A352" s="14" t="s">
        <v>45</v>
      </c>
      <c r="B352" s="14" t="s">
        <v>162</v>
      </c>
    </row>
    <row r="353" spans="1:21" x14ac:dyDescent="0.25">
      <c r="B353" s="35" t="s">
        <v>57</v>
      </c>
      <c r="C353" s="35" t="s">
        <v>58</v>
      </c>
      <c r="D353" s="35" t="s">
        <v>59</v>
      </c>
      <c r="E353" s="35" t="s">
        <v>60</v>
      </c>
      <c r="F353" s="35" t="s">
        <v>61</v>
      </c>
      <c r="H353" s="35" t="s">
        <v>57</v>
      </c>
      <c r="I353" s="35" t="s">
        <v>58</v>
      </c>
      <c r="J353" s="35" t="s">
        <v>59</v>
      </c>
      <c r="K353" s="35" t="s">
        <v>60</v>
      </c>
      <c r="L353" s="35" t="s">
        <v>61</v>
      </c>
      <c r="Q353" s="35" t="s">
        <v>58</v>
      </c>
      <c r="R353" s="35" t="s">
        <v>59</v>
      </c>
      <c r="S353" s="35" t="s">
        <v>60</v>
      </c>
      <c r="T353" s="35" t="s">
        <v>61</v>
      </c>
      <c r="U353" s="35" t="s">
        <v>57</v>
      </c>
    </row>
    <row r="354" spans="1:21" x14ac:dyDescent="0.25">
      <c r="A354" s="24" t="s">
        <v>55</v>
      </c>
      <c r="B354" s="25">
        <v>0</v>
      </c>
      <c r="C354" s="25">
        <v>0</v>
      </c>
      <c r="D354" s="25">
        <v>5.7870370370370373E-5</v>
      </c>
      <c r="E354" s="25">
        <v>0</v>
      </c>
      <c r="F354" s="25">
        <v>5.7870370370370373E-5</v>
      </c>
      <c r="H354" s="17">
        <v>0</v>
      </c>
      <c r="I354" s="17">
        <v>0</v>
      </c>
      <c r="J354" s="17">
        <v>0.5</v>
      </c>
      <c r="K354" s="17">
        <v>0</v>
      </c>
      <c r="L354" s="17">
        <v>0.5</v>
      </c>
      <c r="N354" s="36">
        <f>SUM(B354:F354)</f>
        <v>1.1574074074074075E-4</v>
      </c>
      <c r="O354" s="14" t="str">
        <f>TEXT(N354,"MM:SS")&amp;" m:s"</f>
        <v>00:10 m:s</v>
      </c>
      <c r="Q354" s="14" t="str">
        <f t="shared" ref="Q354:U355" si="2">TEXT(B354,"m:ss")&amp;CHAR(10)</f>
        <v xml:space="preserve">0:00
</v>
      </c>
      <c r="R354" s="14" t="str">
        <f t="shared" si="2"/>
        <v xml:space="preserve">0:00
</v>
      </c>
      <c r="S354" s="14" t="str">
        <f t="shared" si="2"/>
        <v xml:space="preserve">0:05
</v>
      </c>
      <c r="T354" s="14" t="str">
        <f t="shared" si="2"/>
        <v xml:space="preserve">0:00
</v>
      </c>
      <c r="U354" s="14" t="str">
        <f t="shared" si="2"/>
        <v xml:space="preserve">0:05
</v>
      </c>
    </row>
    <row r="355" spans="1:21" x14ac:dyDescent="0.25">
      <c r="A355" s="14" t="s">
        <v>162</v>
      </c>
      <c r="B355" s="25">
        <v>0</v>
      </c>
      <c r="C355" s="25">
        <v>0</v>
      </c>
      <c r="D355" s="25">
        <v>5.7870370370370373E-5</v>
      </c>
      <c r="E355" s="25">
        <v>0</v>
      </c>
      <c r="F355" s="25">
        <v>5.7870370370370373E-5</v>
      </c>
      <c r="H355" s="17">
        <v>0</v>
      </c>
      <c r="I355" s="17">
        <v>0</v>
      </c>
      <c r="J355" s="17">
        <v>0.5</v>
      </c>
      <c r="K355" s="17">
        <v>0</v>
      </c>
      <c r="L355" s="17">
        <v>0.5</v>
      </c>
      <c r="N355" s="36">
        <f>SUM(B355:F355)</f>
        <v>1.1574074074074075E-4</v>
      </c>
      <c r="O355" s="14" t="str">
        <f>TEXT(N355,"MM:SS")&amp;" m:s"</f>
        <v>00:10 m:s</v>
      </c>
      <c r="Q355" s="14" t="str">
        <f t="shared" si="2"/>
        <v xml:space="preserve">0:00
</v>
      </c>
      <c r="R355" s="14" t="str">
        <f t="shared" si="2"/>
        <v xml:space="preserve">0:00
</v>
      </c>
      <c r="S355" s="14" t="str">
        <f t="shared" si="2"/>
        <v xml:space="preserve">0:05
</v>
      </c>
      <c r="T355" s="14" t="str">
        <f t="shared" si="2"/>
        <v xml:space="preserve">0:00
</v>
      </c>
      <c r="U355" s="14" t="str">
        <f t="shared" si="2"/>
        <v xml:space="preserve">0:05
</v>
      </c>
    </row>
    <row r="361" spans="1:21" s="11" customFormat="1" x14ac:dyDescent="0.25">
      <c r="A361" s="12" t="s">
        <v>110</v>
      </c>
    </row>
    <row r="362" spans="1:21" x14ac:dyDescent="0.25">
      <c r="A362" s="14" t="s">
        <v>45</v>
      </c>
      <c r="B362" s="14" t="s">
        <v>162</v>
      </c>
    </row>
    <row r="363" spans="1:21" x14ac:dyDescent="0.25">
      <c r="B363" s="35" t="s">
        <v>111</v>
      </c>
      <c r="C363" s="35" t="s">
        <v>112</v>
      </c>
      <c r="I363" s="35" t="s">
        <v>113</v>
      </c>
      <c r="J363" s="35" t="s">
        <v>112</v>
      </c>
    </row>
    <row r="364" spans="1:21" x14ac:dyDescent="0.25">
      <c r="A364" s="24" t="s">
        <v>55</v>
      </c>
      <c r="B364" s="25">
        <v>5.7870370370370373E-5</v>
      </c>
      <c r="C364" s="25">
        <v>0</v>
      </c>
      <c r="D364" s="17">
        <v>1</v>
      </c>
      <c r="E364" s="17">
        <v>0</v>
      </c>
      <c r="F364" s="33">
        <f>B364+C364</f>
        <v>5.7870370370370373E-5</v>
      </c>
      <c r="G364" s="14" t="str">
        <f>TEXT(F364,"MM:SS")&amp;" m:s"</f>
        <v>00:05 m:s</v>
      </c>
      <c r="I364" s="14" t="str">
        <f>TEXT(B364,"m:ss")&amp;CHAR(10)</f>
        <v xml:space="preserve">0:05
</v>
      </c>
      <c r="J364" s="14" t="str">
        <f>TEXT(C364,"m:ss")&amp;CHAR(10)</f>
        <v xml:space="preserve">0:00
</v>
      </c>
    </row>
    <row r="365" spans="1:21" x14ac:dyDescent="0.25">
      <c r="A365" s="14" t="s">
        <v>162</v>
      </c>
      <c r="B365" s="25">
        <v>5.7870370370370373E-5</v>
      </c>
      <c r="C365" s="25">
        <v>0</v>
      </c>
      <c r="D365" s="17">
        <v>1</v>
      </c>
      <c r="E365" s="17">
        <v>0</v>
      </c>
      <c r="F365" s="33">
        <f>B365+C365</f>
        <v>5.7870370370370373E-5</v>
      </c>
      <c r="G365" s="14" t="str">
        <f>TEXT(F365,"MM:SS")&amp;" m:s"</f>
        <v>00:05 m:s</v>
      </c>
      <c r="I365" s="14" t="str">
        <f>TEXT(B365,"m:ss")&amp;CHAR(10)</f>
        <v xml:space="preserve">0:05
</v>
      </c>
      <c r="J365" s="14" t="str">
        <f>TEXT(C365,"m:ss")&amp;CHAR(10)</f>
        <v xml:space="preserve">0:00
</v>
      </c>
    </row>
    <row r="371" spans="1:4" s="11" customFormat="1" x14ac:dyDescent="0.25">
      <c r="A371" s="12" t="s">
        <v>114</v>
      </c>
    </row>
    <row r="372" spans="1:4" x14ac:dyDescent="0.25">
      <c r="A372" s="14" t="s">
        <v>45</v>
      </c>
      <c r="B372" s="14" t="s">
        <v>162</v>
      </c>
      <c r="C372" s="38" t="s">
        <v>66</v>
      </c>
      <c r="D372" s="39">
        <v>1.7361111111111112E-4</v>
      </c>
    </row>
    <row r="373" spans="1:4" x14ac:dyDescent="0.25">
      <c r="A373" s="14" t="s">
        <v>46</v>
      </c>
      <c r="B373" s="27">
        <v>5.7870370370370373E-5</v>
      </c>
      <c r="C373" s="14" t="str">
        <f>TEXT(B373,"MM:SS")</f>
        <v>00:05</v>
      </c>
    </row>
    <row r="374" spans="1:4" x14ac:dyDescent="0.25">
      <c r="A374" s="16" t="s">
        <v>47</v>
      </c>
      <c r="B374" s="27">
        <v>5.7870370370370373E-5</v>
      </c>
      <c r="C374" s="14" t="str">
        <f>TEXT(B374,"MM:SS")</f>
        <v>00:05</v>
      </c>
    </row>
    <row r="375" spans="1:4" x14ac:dyDescent="0.25">
      <c r="A375" s="16" t="s">
        <v>48</v>
      </c>
      <c r="B375" s="27">
        <v>0</v>
      </c>
    </row>
    <row r="376" spans="1:4" x14ac:dyDescent="0.25">
      <c r="A376" s="16" t="s">
        <v>49</v>
      </c>
      <c r="B376" s="27">
        <v>0</v>
      </c>
    </row>
    <row r="377" spans="1:4" x14ac:dyDescent="0.25">
      <c r="A377" s="14" t="s">
        <v>50</v>
      </c>
      <c r="B377" s="27">
        <v>5.7870370370370373E-5</v>
      </c>
    </row>
    <row r="378" spans="1:4" x14ac:dyDescent="0.25">
      <c r="A378" s="14" t="s">
        <v>51</v>
      </c>
      <c r="B378" s="27">
        <v>5.7870370370370373E-5</v>
      </c>
    </row>
    <row r="381" spans="1:4" s="11" customFormat="1" x14ac:dyDescent="0.25">
      <c r="A381" s="12" t="s">
        <v>115</v>
      </c>
    </row>
    <row r="382" spans="1:4" x14ac:dyDescent="0.25">
      <c r="A382" s="14" t="s">
        <v>45</v>
      </c>
      <c r="B382" s="14" t="s">
        <v>162</v>
      </c>
      <c r="C382" s="38" t="s">
        <v>66</v>
      </c>
      <c r="D382" s="39">
        <v>1.7361111111111112E-4</v>
      </c>
    </row>
    <row r="383" spans="1:4" x14ac:dyDescent="0.25">
      <c r="A383" s="14" t="s">
        <v>46</v>
      </c>
      <c r="B383" s="27">
        <v>0</v>
      </c>
      <c r="C383" s="14" t="str">
        <f>TEXT(B383,"MM:SS")</f>
        <v>00:00</v>
      </c>
    </row>
    <row r="384" spans="1:4" x14ac:dyDescent="0.25">
      <c r="A384" s="16" t="s">
        <v>47</v>
      </c>
      <c r="B384" s="27">
        <v>0</v>
      </c>
      <c r="C384" s="14" t="str">
        <f>TEXT(B384,"MM:SS")</f>
        <v>00:00</v>
      </c>
    </row>
    <row r="385" spans="1:3" x14ac:dyDescent="0.25">
      <c r="A385" s="16" t="s">
        <v>48</v>
      </c>
      <c r="B385" s="27">
        <v>0</v>
      </c>
    </row>
    <row r="386" spans="1:3" x14ac:dyDescent="0.25">
      <c r="A386" s="16" t="s">
        <v>49</v>
      </c>
      <c r="B386" s="27">
        <v>0</v>
      </c>
    </row>
    <row r="387" spans="1:3" x14ac:dyDescent="0.25">
      <c r="A387" s="14" t="s">
        <v>50</v>
      </c>
      <c r="B387" s="27">
        <v>0</v>
      </c>
    </row>
    <row r="388" spans="1:3" x14ac:dyDescent="0.25">
      <c r="A388" s="14" t="s">
        <v>51</v>
      </c>
      <c r="B388" s="27">
        <v>0</v>
      </c>
    </row>
    <row r="391" spans="1:3" s="11" customFormat="1" x14ac:dyDescent="0.25">
      <c r="A391" s="12" t="s">
        <v>116</v>
      </c>
    </row>
    <row r="392" spans="1:3" x14ac:dyDescent="0.25">
      <c r="A392" s="14" t="s">
        <v>45</v>
      </c>
      <c r="B392" s="14" t="s">
        <v>162</v>
      </c>
    </row>
    <row r="393" spans="1:3" x14ac:dyDescent="0.25">
      <c r="A393" s="14" t="s">
        <v>46</v>
      </c>
      <c r="B393" s="28">
        <v>2</v>
      </c>
      <c r="C393" s="15" t="str">
        <f>TEXT(B393,"0%")</f>
        <v>200%</v>
      </c>
    </row>
    <row r="394" spans="1:3" x14ac:dyDescent="0.25">
      <c r="A394" s="16" t="s">
        <v>47</v>
      </c>
      <c r="B394" s="28">
        <v>2</v>
      </c>
      <c r="C394" s="15" t="str">
        <f>TEXT(B394,"0%")</f>
        <v>200%</v>
      </c>
    </row>
    <row r="395" spans="1:3" x14ac:dyDescent="0.25">
      <c r="A395" s="16" t="s">
        <v>48</v>
      </c>
      <c r="B395" s="28">
        <v>0</v>
      </c>
    </row>
    <row r="396" spans="1:3" x14ac:dyDescent="0.25">
      <c r="A396" s="16" t="s">
        <v>49</v>
      </c>
      <c r="B396" s="28">
        <v>0</v>
      </c>
    </row>
    <row r="397" spans="1:3" x14ac:dyDescent="0.25">
      <c r="A397" s="14" t="s">
        <v>50</v>
      </c>
      <c r="B397" s="28">
        <v>2</v>
      </c>
    </row>
    <row r="398" spans="1:3" x14ac:dyDescent="0.25">
      <c r="A398" s="14" t="s">
        <v>51</v>
      </c>
      <c r="B398" s="28">
        <v>2</v>
      </c>
    </row>
    <row r="401" spans="1:3" s="11" customFormat="1" x14ac:dyDescent="0.25">
      <c r="A401" s="12" t="s">
        <v>117</v>
      </c>
    </row>
    <row r="402" spans="1:3" x14ac:dyDescent="0.25">
      <c r="A402" s="14" t="s">
        <v>45</v>
      </c>
      <c r="B402" s="14" t="s">
        <v>162</v>
      </c>
    </row>
    <row r="403" spans="1:3" x14ac:dyDescent="0.25">
      <c r="A403" s="14" t="s">
        <v>46</v>
      </c>
      <c r="B403" s="29">
        <v>200</v>
      </c>
      <c r="C403" s="29" t="str">
        <f>TEXT(B403,"0.0")</f>
        <v>200.0</v>
      </c>
    </row>
    <row r="404" spans="1:3" x14ac:dyDescent="0.25">
      <c r="A404" s="16" t="s">
        <v>47</v>
      </c>
      <c r="B404" s="29">
        <v>200</v>
      </c>
      <c r="C404" s="29" t="str">
        <f>TEXT(B404,"0.0")</f>
        <v>200.0</v>
      </c>
    </row>
    <row r="405" spans="1:3" x14ac:dyDescent="0.25">
      <c r="A405" s="16" t="s">
        <v>48</v>
      </c>
      <c r="B405" s="29">
        <v>0</v>
      </c>
    </row>
    <row r="406" spans="1:3" x14ac:dyDescent="0.25">
      <c r="A406" s="16" t="s">
        <v>49</v>
      </c>
      <c r="B406" s="29">
        <v>0</v>
      </c>
    </row>
    <row r="407" spans="1:3" x14ac:dyDescent="0.25">
      <c r="A407" s="14" t="s">
        <v>50</v>
      </c>
      <c r="B407" s="29">
        <v>200</v>
      </c>
    </row>
    <row r="408" spans="1:3" x14ac:dyDescent="0.25">
      <c r="A408" s="14" t="s">
        <v>51</v>
      </c>
      <c r="B408" s="29">
        <v>200</v>
      </c>
    </row>
    <row r="411" spans="1:3" s="11" customFormat="1" x14ac:dyDescent="0.25">
      <c r="A411" s="12" t="s">
        <v>118</v>
      </c>
    </row>
    <row r="412" spans="1:3" x14ac:dyDescent="0.25">
      <c r="A412" s="14" t="s">
        <v>45</v>
      </c>
      <c r="B412" s="14" t="s">
        <v>162</v>
      </c>
    </row>
    <row r="413" spans="1:3" x14ac:dyDescent="0.25">
      <c r="B413" s="24" t="s">
        <v>55</v>
      </c>
      <c r="C413" s="14" t="str">
        <f>B412</f>
        <v>MHN</v>
      </c>
    </row>
    <row r="414" spans="1:3" x14ac:dyDescent="0.25">
      <c r="A414" s="14" t="s">
        <v>91</v>
      </c>
      <c r="B414" s="15">
        <v>0.5</v>
      </c>
      <c r="C414" s="15">
        <v>0.5</v>
      </c>
    </row>
    <row r="415" spans="1:3" x14ac:dyDescent="0.25">
      <c r="A415" s="14" t="s">
        <v>92</v>
      </c>
      <c r="B415" s="15">
        <v>0.5</v>
      </c>
      <c r="C415" s="15">
        <v>0.5</v>
      </c>
    </row>
    <row r="416" spans="1:3" x14ac:dyDescent="0.25">
      <c r="A416" s="14" t="s">
        <v>93</v>
      </c>
      <c r="B416" s="15">
        <v>0</v>
      </c>
      <c r="C416" s="15">
        <v>0</v>
      </c>
    </row>
    <row r="417" spans="1:3" x14ac:dyDescent="0.25">
      <c r="A417" s="14" t="s">
        <v>94</v>
      </c>
      <c r="B417" s="15">
        <v>0</v>
      </c>
      <c r="C417" s="15">
        <v>0</v>
      </c>
    </row>
  </sheetData>
  <pageMargins left="0.7" right="0.7" top="0.75" bottom="0.75" header="0.3" footer="0.3"/>
  <pageSetup paperSize="9" scale="31" fitToHeight="0" orientation="portrait" horizontalDpi="4294967294"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BL90"/>
  <sheetViews>
    <sheetView topLeftCell="O1" workbookViewId="0">
      <selection activeCell="AH1" sqref="AH1"/>
    </sheetView>
  </sheetViews>
  <sheetFormatPr defaultColWidth="9" defaultRowHeight="11.25" x14ac:dyDescent="0.2"/>
  <cols>
    <col min="34" max="34" width="22.33203125" customWidth="1"/>
  </cols>
  <sheetData>
    <row r="1" spans="1:64" x14ac:dyDescent="0.2">
      <c r="A1" s="13" t="str">
        <f>Data!$C$3</f>
        <v>78%</v>
      </c>
      <c r="B1" s="13">
        <f>Data!$B$3</f>
        <v>0.77966101694915257</v>
      </c>
      <c r="C1">
        <v>6684672</v>
      </c>
      <c r="D1" t="s">
        <v>119</v>
      </c>
      <c r="E1">
        <v>3</v>
      </c>
      <c r="F1" t="s">
        <v>120</v>
      </c>
      <c r="G1" s="13">
        <f>Data!$B$6</f>
        <v>2.8169014084507043E-2</v>
      </c>
      <c r="H1" s="13">
        <f>Data!$B$8</f>
        <v>0.30927835051546393</v>
      </c>
      <c r="I1">
        <v>13395456</v>
      </c>
      <c r="J1">
        <v>-1</v>
      </c>
      <c r="K1">
        <v>0.1</v>
      </c>
      <c r="L1" t="s">
        <v>121</v>
      </c>
      <c r="M1">
        <v>1</v>
      </c>
      <c r="N1" t="s">
        <v>122</v>
      </c>
      <c r="O1">
        <v>-1</v>
      </c>
      <c r="P1">
        <v>3</v>
      </c>
      <c r="Q1">
        <v>-2147483633</v>
      </c>
      <c r="R1" t="s">
        <v>123</v>
      </c>
      <c r="S1" s="13"/>
      <c r="T1">
        <v>0</v>
      </c>
      <c r="U1">
        <v>0</v>
      </c>
      <c r="V1">
        <v>0</v>
      </c>
      <c r="W1" t="e">
        <f>M.1_Limits</f>
        <v>#VALUE!</v>
      </c>
      <c r="X1" t="s">
        <v>123</v>
      </c>
      <c r="Z1">
        <v>0</v>
      </c>
      <c r="AA1">
        <v>0</v>
      </c>
      <c r="AB1">
        <v>0</v>
      </c>
      <c r="AC1">
        <v>0</v>
      </c>
      <c r="AD1">
        <v>0</v>
      </c>
      <c r="AE1">
        <v>0</v>
      </c>
      <c r="AF1">
        <v>0</v>
      </c>
      <c r="AG1">
        <v>0</v>
      </c>
      <c r="AH1" t="s">
        <v>124</v>
      </c>
      <c r="AI1">
        <v>0</v>
      </c>
      <c r="AJ1">
        <v>11</v>
      </c>
      <c r="AK1" t="b">
        <v>0</v>
      </c>
      <c r="AL1" t="s">
        <v>125</v>
      </c>
      <c r="AM1" t="b">
        <v>0</v>
      </c>
      <c r="AN1" t="b">
        <v>0</v>
      </c>
      <c r="AO1" t="e">
        <f>M.1_Values</f>
        <v>#VALUE!</v>
      </c>
      <c r="AP1" t="s">
        <v>126</v>
      </c>
      <c r="AQ1" t="b">
        <v>0</v>
      </c>
      <c r="AR1">
        <v>16316664</v>
      </c>
      <c r="AS1">
        <v>0</v>
      </c>
      <c r="AT1" t="s">
        <v>127</v>
      </c>
      <c r="AU1" t="b">
        <v>0</v>
      </c>
      <c r="AV1">
        <v>13434624</v>
      </c>
      <c r="AW1">
        <v>16750848</v>
      </c>
      <c r="AX1" t="s">
        <v>127</v>
      </c>
      <c r="AY1">
        <v>0</v>
      </c>
      <c r="AZ1">
        <v>0.5</v>
      </c>
      <c r="BA1" t="s">
        <v>128</v>
      </c>
      <c r="BB1">
        <v>0.9</v>
      </c>
      <c r="BC1" t="b">
        <v>0</v>
      </c>
      <c r="BD1" t="b">
        <v>1</v>
      </c>
      <c r="BE1" t="b">
        <v>1</v>
      </c>
      <c r="BF1" t="b">
        <v>1</v>
      </c>
      <c r="BG1" t="b">
        <v>0</v>
      </c>
      <c r="BH1" t="b">
        <v>0</v>
      </c>
      <c r="BI1" t="b">
        <v>1</v>
      </c>
      <c r="BJ1" t="s">
        <v>129</v>
      </c>
      <c r="BK1" t="b">
        <v>1</v>
      </c>
      <c r="BL1" t="b">
        <v>0</v>
      </c>
    </row>
    <row r="2" spans="1:64" x14ac:dyDescent="0.2">
      <c r="A2" s="13" t="str">
        <f>Data!$C$4</f>
        <v>51%</v>
      </c>
      <c r="B2" s="13">
        <f>Data!$B$4</f>
        <v>0.51437674934495625</v>
      </c>
      <c r="C2">
        <v>255</v>
      </c>
      <c r="D2" t="s">
        <v>119</v>
      </c>
      <c r="E2">
        <v>3</v>
      </c>
      <c r="F2" t="s">
        <v>130</v>
      </c>
      <c r="G2" s="13">
        <f>Data!$B$8</f>
        <v>0.30927835051546393</v>
      </c>
      <c r="H2" s="13">
        <f>Data!$B$7</f>
        <v>0.71532846715328469</v>
      </c>
      <c r="I2">
        <v>16777215</v>
      </c>
      <c r="J2">
        <v>-1</v>
      </c>
      <c r="K2">
        <v>0.1</v>
      </c>
      <c r="L2" t="s">
        <v>121</v>
      </c>
      <c r="M2">
        <v>1</v>
      </c>
      <c r="N2" t="s">
        <v>131</v>
      </c>
      <c r="O2">
        <v>-1</v>
      </c>
      <c r="P2">
        <v>3</v>
      </c>
      <c r="Q2">
        <v>-2147483633</v>
      </c>
      <c r="R2" t="s">
        <v>132</v>
      </c>
      <c r="S2" s="13"/>
      <c r="T2">
        <v>0</v>
      </c>
      <c r="U2">
        <v>0</v>
      </c>
      <c r="V2">
        <v>0</v>
      </c>
      <c r="W2" t="e">
        <f>M.7_Limits</f>
        <v>#VALUE!</v>
      </c>
      <c r="X2" t="s">
        <v>132</v>
      </c>
      <c r="Z2">
        <v>0</v>
      </c>
      <c r="AA2">
        <v>0</v>
      </c>
      <c r="AB2">
        <v>0</v>
      </c>
      <c r="AC2">
        <v>0</v>
      </c>
      <c r="AD2">
        <v>0</v>
      </c>
      <c r="AE2">
        <v>0</v>
      </c>
      <c r="AF2">
        <v>0</v>
      </c>
      <c r="AG2">
        <v>0</v>
      </c>
      <c r="AH2" t="s">
        <v>124</v>
      </c>
      <c r="AI2">
        <v>0</v>
      </c>
      <c r="AJ2">
        <v>11</v>
      </c>
      <c r="AK2" t="b">
        <v>0</v>
      </c>
      <c r="AL2" t="s">
        <v>125</v>
      </c>
      <c r="AM2" t="b">
        <v>0</v>
      </c>
      <c r="AN2" t="b">
        <v>0</v>
      </c>
      <c r="AO2" t="e">
        <f>M.7_Values</f>
        <v>#VALUE!</v>
      </c>
      <c r="AP2" t="s">
        <v>126</v>
      </c>
      <c r="AQ2" t="b">
        <v>0</v>
      </c>
      <c r="AR2">
        <v>16316664</v>
      </c>
      <c r="AS2">
        <v>0</v>
      </c>
      <c r="AT2" t="s">
        <v>127</v>
      </c>
      <c r="AU2" t="b">
        <v>0</v>
      </c>
      <c r="AV2">
        <v>13434624</v>
      </c>
      <c r="AW2">
        <v>16750848</v>
      </c>
      <c r="AX2" t="s">
        <v>127</v>
      </c>
      <c r="AY2">
        <v>0</v>
      </c>
      <c r="AZ2">
        <v>0.5</v>
      </c>
      <c r="BA2" t="s">
        <v>128</v>
      </c>
      <c r="BB2">
        <v>0.9</v>
      </c>
      <c r="BC2" t="b">
        <v>0</v>
      </c>
      <c r="BD2" t="b">
        <v>1</v>
      </c>
      <c r="BE2" t="b">
        <v>1</v>
      </c>
      <c r="BF2" t="b">
        <v>1</v>
      </c>
      <c r="BG2" t="b">
        <v>0</v>
      </c>
      <c r="BH2" t="b">
        <v>0</v>
      </c>
      <c r="BI2" t="b">
        <v>1</v>
      </c>
      <c r="BJ2" t="s">
        <v>129</v>
      </c>
      <c r="BK2" t="b">
        <v>1</v>
      </c>
      <c r="BL2" t="b">
        <v>0</v>
      </c>
    </row>
    <row r="3" spans="1:64" x14ac:dyDescent="0.2">
      <c r="A3" s="13" t="str">
        <f>Data!$C$63</f>
        <v>44%</v>
      </c>
      <c r="B3" s="13">
        <f>Data!$B$63</f>
        <v>0.44067796610169491</v>
      </c>
      <c r="C3">
        <v>6684672</v>
      </c>
      <c r="D3" t="s">
        <v>119</v>
      </c>
      <c r="E3">
        <v>3</v>
      </c>
      <c r="F3" t="s">
        <v>133</v>
      </c>
      <c r="G3" s="13">
        <f>Data!$B$7</f>
        <v>0.71532846715328469</v>
      </c>
      <c r="H3" s="13">
        <f>Data!$B$5</f>
        <v>0.96103896103896103</v>
      </c>
      <c r="I3">
        <v>13395456</v>
      </c>
      <c r="J3">
        <v>-1</v>
      </c>
      <c r="K3" s="37">
        <f>Data!$D$42</f>
        <v>1.7361111111111112E-4</v>
      </c>
      <c r="L3" t="s">
        <v>134</v>
      </c>
      <c r="M3">
        <v>10</v>
      </c>
      <c r="N3" t="s">
        <v>122</v>
      </c>
      <c r="O3">
        <v>-1</v>
      </c>
      <c r="P3">
        <v>3</v>
      </c>
      <c r="Q3">
        <v>-2147483633</v>
      </c>
      <c r="R3" t="s">
        <v>135</v>
      </c>
      <c r="T3">
        <v>0</v>
      </c>
      <c r="U3">
        <v>0</v>
      </c>
      <c r="V3">
        <v>0</v>
      </c>
      <c r="W3" t="e">
        <f>M.5_Limits</f>
        <v>#VALUE!</v>
      </c>
      <c r="X3" t="s">
        <v>135</v>
      </c>
      <c r="Z3">
        <v>0</v>
      </c>
      <c r="AA3">
        <v>0</v>
      </c>
      <c r="AB3">
        <v>0</v>
      </c>
      <c r="AC3">
        <v>0</v>
      </c>
      <c r="AD3">
        <v>0</v>
      </c>
      <c r="AE3">
        <v>0</v>
      </c>
      <c r="AF3">
        <v>0</v>
      </c>
      <c r="AG3">
        <v>0</v>
      </c>
      <c r="AH3" t="s">
        <v>124</v>
      </c>
      <c r="AI3">
        <v>0</v>
      </c>
      <c r="AJ3">
        <v>11</v>
      </c>
      <c r="AK3" t="b">
        <v>0</v>
      </c>
      <c r="AL3" t="s">
        <v>125</v>
      </c>
      <c r="AM3" t="b">
        <v>0</v>
      </c>
      <c r="AN3" t="b">
        <v>0</v>
      </c>
      <c r="AO3" t="e">
        <f>M.5_Values</f>
        <v>#VALUE!</v>
      </c>
      <c r="AP3" t="s">
        <v>126</v>
      </c>
      <c r="AQ3" t="b">
        <v>0</v>
      </c>
      <c r="AR3">
        <v>16316664</v>
      </c>
      <c r="AS3">
        <v>0</v>
      </c>
      <c r="AT3" t="s">
        <v>127</v>
      </c>
      <c r="AU3" t="b">
        <v>0</v>
      </c>
      <c r="AV3">
        <v>13434624</v>
      </c>
      <c r="AW3">
        <v>16750848</v>
      </c>
      <c r="AX3" t="s">
        <v>127</v>
      </c>
      <c r="AY3">
        <v>0</v>
      </c>
      <c r="AZ3">
        <v>0.5</v>
      </c>
      <c r="BA3" t="s">
        <v>128</v>
      </c>
      <c r="BB3">
        <v>0.9</v>
      </c>
      <c r="BC3" t="b">
        <v>0</v>
      </c>
      <c r="BD3" t="b">
        <v>1</v>
      </c>
      <c r="BE3" t="b">
        <v>1</v>
      </c>
      <c r="BF3" t="b">
        <v>1</v>
      </c>
      <c r="BG3" t="b">
        <v>0</v>
      </c>
      <c r="BH3" t="b">
        <v>0</v>
      </c>
      <c r="BI3" t="b">
        <v>1</v>
      </c>
      <c r="BJ3" t="s">
        <v>129</v>
      </c>
      <c r="BK3" t="b">
        <v>1</v>
      </c>
      <c r="BL3" t="b">
        <v>0</v>
      </c>
    </row>
    <row r="4" spans="1:64" x14ac:dyDescent="0.2">
      <c r="A4" s="13" t="str">
        <f>Data!$C$64</f>
        <v>49%</v>
      </c>
      <c r="B4" s="13">
        <f>Data!$B$64</f>
        <v>0.48820014714913657</v>
      </c>
      <c r="C4">
        <v>255</v>
      </c>
      <c r="D4" t="s">
        <v>119</v>
      </c>
      <c r="E4">
        <v>3</v>
      </c>
      <c r="F4" t="s">
        <v>120</v>
      </c>
      <c r="G4" s="13">
        <f>Data!$B$66</f>
        <v>0</v>
      </c>
      <c r="H4" s="13">
        <f>Data!$B$68</f>
        <v>0.33333333333333331</v>
      </c>
      <c r="I4">
        <v>13395456</v>
      </c>
      <c r="J4">
        <v>-1</v>
      </c>
      <c r="K4">
        <v>0.01</v>
      </c>
      <c r="L4" t="s">
        <v>121</v>
      </c>
      <c r="M4">
        <v>2</v>
      </c>
      <c r="N4" t="s">
        <v>131</v>
      </c>
      <c r="O4">
        <v>-1</v>
      </c>
      <c r="P4">
        <v>3</v>
      </c>
      <c r="Q4">
        <v>-2147483633</v>
      </c>
      <c r="R4" t="s">
        <v>136</v>
      </c>
      <c r="S4" s="30"/>
      <c r="T4">
        <v>0</v>
      </c>
      <c r="U4">
        <v>0</v>
      </c>
      <c r="V4">
        <v>0</v>
      </c>
      <c r="W4" t="e">
        <f>M.14_Limits</f>
        <v>#VALUE!</v>
      </c>
      <c r="X4" t="s">
        <v>136</v>
      </c>
      <c r="Z4">
        <v>0</v>
      </c>
      <c r="AA4">
        <v>0</v>
      </c>
      <c r="AB4">
        <v>0</v>
      </c>
      <c r="AC4">
        <v>0</v>
      </c>
      <c r="AD4">
        <v>0</v>
      </c>
      <c r="AE4">
        <v>0</v>
      </c>
      <c r="AF4">
        <v>0</v>
      </c>
      <c r="AG4">
        <v>0</v>
      </c>
      <c r="AH4" t="s">
        <v>124</v>
      </c>
      <c r="AI4">
        <v>0</v>
      </c>
      <c r="AJ4">
        <v>11</v>
      </c>
      <c r="AK4" t="b">
        <v>0</v>
      </c>
      <c r="AL4" t="s">
        <v>125</v>
      </c>
      <c r="AM4" t="b">
        <v>0</v>
      </c>
      <c r="AN4" t="b">
        <v>0</v>
      </c>
      <c r="AO4" t="e">
        <f>M.14_Values</f>
        <v>#VALUE!</v>
      </c>
      <c r="AP4" t="s">
        <v>126</v>
      </c>
      <c r="AQ4" t="b">
        <v>0</v>
      </c>
      <c r="AR4">
        <v>16316664</v>
      </c>
      <c r="AS4">
        <v>0</v>
      </c>
      <c r="AT4" t="s">
        <v>127</v>
      </c>
      <c r="AU4" t="b">
        <v>0</v>
      </c>
      <c r="AV4">
        <v>13434624</v>
      </c>
      <c r="AW4">
        <v>16750848</v>
      </c>
      <c r="AX4" t="s">
        <v>127</v>
      </c>
      <c r="AY4">
        <v>0</v>
      </c>
      <c r="AZ4">
        <v>0.5</v>
      </c>
      <c r="BA4" t="s">
        <v>128</v>
      </c>
      <c r="BB4">
        <v>0.9</v>
      </c>
      <c r="BC4" t="b">
        <v>0</v>
      </c>
      <c r="BD4" t="b">
        <v>1</v>
      </c>
      <c r="BE4" t="b">
        <v>1</v>
      </c>
      <c r="BF4" t="b">
        <v>1</v>
      </c>
      <c r="BG4" t="b">
        <v>0</v>
      </c>
      <c r="BH4" t="b">
        <v>0</v>
      </c>
      <c r="BI4" t="b">
        <v>1</v>
      </c>
      <c r="BJ4" t="s">
        <v>129</v>
      </c>
      <c r="BK4" t="b">
        <v>1</v>
      </c>
      <c r="BL4" t="b">
        <v>0</v>
      </c>
    </row>
    <row r="5" spans="1:64" x14ac:dyDescent="0.2">
      <c r="A5" t="str">
        <f>Data!$C$43</f>
        <v>00:00:24</v>
      </c>
      <c r="B5">
        <f>Data!$B$43</f>
        <v>2.7548776053124544E-4</v>
      </c>
      <c r="C5">
        <v>6684672</v>
      </c>
      <c r="D5" t="s">
        <v>119</v>
      </c>
      <c r="E5">
        <v>3</v>
      </c>
      <c r="F5" t="s">
        <v>130</v>
      </c>
      <c r="G5" s="13">
        <f>Data!$B$68</f>
        <v>0.33333333333333331</v>
      </c>
      <c r="H5" s="13">
        <f>Data!$B$67</f>
        <v>0.64231404958677685</v>
      </c>
      <c r="I5">
        <v>16777215</v>
      </c>
      <c r="J5">
        <v>-1</v>
      </c>
      <c r="K5">
        <v>0.1</v>
      </c>
      <c r="L5" t="s">
        <v>121</v>
      </c>
      <c r="M5">
        <v>1</v>
      </c>
      <c r="N5" t="s">
        <v>131</v>
      </c>
      <c r="O5">
        <v>-1</v>
      </c>
      <c r="P5">
        <v>3</v>
      </c>
      <c r="Q5">
        <v>-2147483633</v>
      </c>
      <c r="R5" t="s">
        <v>137</v>
      </c>
      <c r="S5" s="31"/>
      <c r="T5">
        <v>0</v>
      </c>
      <c r="U5">
        <v>0</v>
      </c>
      <c r="V5">
        <v>0</v>
      </c>
      <c r="W5" t="e">
        <f>M.15_Limits</f>
        <v>#VALUE!</v>
      </c>
      <c r="X5" t="s">
        <v>137</v>
      </c>
      <c r="Z5">
        <v>0</v>
      </c>
      <c r="AA5">
        <v>0</v>
      </c>
      <c r="AB5">
        <v>0</v>
      </c>
      <c r="AC5">
        <v>0</v>
      </c>
      <c r="AD5">
        <v>0</v>
      </c>
      <c r="AE5">
        <v>0</v>
      </c>
      <c r="AF5">
        <v>0</v>
      </c>
      <c r="AG5">
        <v>0</v>
      </c>
      <c r="AH5" t="s">
        <v>124</v>
      </c>
      <c r="AI5">
        <v>0</v>
      </c>
      <c r="AJ5">
        <v>11</v>
      </c>
      <c r="AK5" t="b">
        <v>0</v>
      </c>
      <c r="AL5" t="s">
        <v>125</v>
      </c>
      <c r="AM5" t="b">
        <v>0</v>
      </c>
      <c r="AN5" t="b">
        <v>0</v>
      </c>
      <c r="AO5" t="e">
        <f>M.15_Values</f>
        <v>#VALUE!</v>
      </c>
      <c r="AP5" t="s">
        <v>126</v>
      </c>
      <c r="AQ5" t="b">
        <v>0</v>
      </c>
      <c r="AR5">
        <v>16316664</v>
      </c>
      <c r="AS5">
        <v>0</v>
      </c>
      <c r="AT5" t="s">
        <v>127</v>
      </c>
      <c r="AU5" t="b">
        <v>0</v>
      </c>
      <c r="AV5">
        <v>13434624</v>
      </c>
      <c r="AW5">
        <v>16750848</v>
      </c>
      <c r="AX5" t="s">
        <v>127</v>
      </c>
      <c r="AY5">
        <v>0</v>
      </c>
      <c r="AZ5">
        <v>0.5</v>
      </c>
      <c r="BA5" t="s">
        <v>128</v>
      </c>
      <c r="BB5">
        <v>0.9</v>
      </c>
      <c r="BC5" t="b">
        <v>0</v>
      </c>
      <c r="BD5" t="b">
        <v>1</v>
      </c>
      <c r="BE5" t="b">
        <v>1</v>
      </c>
      <c r="BF5" t="b">
        <v>1</v>
      </c>
      <c r="BG5" t="b">
        <v>0</v>
      </c>
      <c r="BH5" t="b">
        <v>0</v>
      </c>
      <c r="BI5" t="b">
        <v>1</v>
      </c>
      <c r="BJ5" t="s">
        <v>129</v>
      </c>
      <c r="BK5" t="b">
        <v>1</v>
      </c>
      <c r="BL5" t="b">
        <v>0</v>
      </c>
    </row>
    <row r="6" spans="1:64" x14ac:dyDescent="0.2">
      <c r="A6" t="str">
        <f>Data!$C$44</f>
        <v>00:00:24</v>
      </c>
      <c r="B6">
        <f>Data!$B$44</f>
        <v>2.8100008493592299E-4</v>
      </c>
      <c r="C6">
        <v>255</v>
      </c>
      <c r="D6" t="s">
        <v>119</v>
      </c>
      <c r="E6">
        <v>3</v>
      </c>
      <c r="F6" t="s">
        <v>133</v>
      </c>
      <c r="G6" s="13">
        <f>Data!$B$67</f>
        <v>0.64231404958677685</v>
      </c>
      <c r="H6" s="13">
        <f>Data!$B$65</f>
        <v>1</v>
      </c>
      <c r="I6">
        <v>13395456</v>
      </c>
      <c r="J6">
        <v>-1</v>
      </c>
      <c r="K6">
        <v>10</v>
      </c>
      <c r="L6" t="s">
        <v>138</v>
      </c>
      <c r="M6">
        <v>1</v>
      </c>
      <c r="N6" t="s">
        <v>131</v>
      </c>
      <c r="O6">
        <v>-1</v>
      </c>
      <c r="P6">
        <v>3</v>
      </c>
      <c r="Q6">
        <v>-2147483633</v>
      </c>
      <c r="R6" t="s">
        <v>139</v>
      </c>
      <c r="S6" s="31"/>
      <c r="T6">
        <v>0</v>
      </c>
      <c r="U6">
        <v>0</v>
      </c>
      <c r="V6">
        <v>0</v>
      </c>
      <c r="W6" t="e">
        <f>M.16_Limits</f>
        <v>#VALUE!</v>
      </c>
      <c r="X6" t="s">
        <v>139</v>
      </c>
      <c r="Z6">
        <v>0</v>
      </c>
      <c r="AA6">
        <v>0</v>
      </c>
      <c r="AB6">
        <v>0</v>
      </c>
      <c r="AC6">
        <v>0</v>
      </c>
      <c r="AD6">
        <v>0</v>
      </c>
      <c r="AE6">
        <v>0</v>
      </c>
      <c r="AF6">
        <v>0</v>
      </c>
      <c r="AG6">
        <v>0</v>
      </c>
      <c r="AH6" t="s">
        <v>124</v>
      </c>
      <c r="AI6">
        <v>0</v>
      </c>
      <c r="AJ6">
        <v>11</v>
      </c>
      <c r="AK6" t="b">
        <v>0</v>
      </c>
      <c r="AL6" t="s">
        <v>125</v>
      </c>
      <c r="AM6" t="b">
        <v>0</v>
      </c>
      <c r="AN6" t="b">
        <v>0</v>
      </c>
      <c r="AO6" t="e">
        <f>M.16_Values</f>
        <v>#VALUE!</v>
      </c>
      <c r="AP6" t="s">
        <v>126</v>
      </c>
      <c r="AQ6" t="b">
        <v>0</v>
      </c>
      <c r="AR6">
        <v>16316664</v>
      </c>
      <c r="AS6">
        <v>0</v>
      </c>
      <c r="AT6" t="s">
        <v>127</v>
      </c>
      <c r="AU6" t="b">
        <v>0</v>
      </c>
      <c r="AV6">
        <v>13434624</v>
      </c>
      <c r="AW6">
        <v>16750848</v>
      </c>
      <c r="AX6" t="s">
        <v>127</v>
      </c>
      <c r="AY6">
        <v>0</v>
      </c>
      <c r="AZ6">
        <v>0.5</v>
      </c>
      <c r="BA6" t="s">
        <v>128</v>
      </c>
      <c r="BB6">
        <v>0.9</v>
      </c>
      <c r="BC6" t="b">
        <v>0</v>
      </c>
      <c r="BD6" t="b">
        <v>1</v>
      </c>
      <c r="BE6" t="b">
        <v>1</v>
      </c>
      <c r="BF6" t="b">
        <v>1</v>
      </c>
      <c r="BG6" t="b">
        <v>0</v>
      </c>
      <c r="BH6" t="b">
        <v>0</v>
      </c>
      <c r="BI6" t="b">
        <v>1</v>
      </c>
      <c r="BJ6" t="s">
        <v>129</v>
      </c>
      <c r="BK6" t="b">
        <v>1</v>
      </c>
      <c r="BL6" t="b">
        <v>0</v>
      </c>
    </row>
    <row r="7" spans="1:64" x14ac:dyDescent="0.2">
      <c r="A7" s="13" t="str">
        <f>Data!$C$73</f>
        <v>100%</v>
      </c>
      <c r="B7" s="30">
        <f>Data!$B$73</f>
        <v>1</v>
      </c>
      <c r="C7">
        <v>6684672</v>
      </c>
      <c r="D7" t="s">
        <v>119</v>
      </c>
      <c r="E7">
        <v>3</v>
      </c>
      <c r="F7" t="s">
        <v>120</v>
      </c>
      <c r="G7">
        <f>Data!$B$46</f>
        <v>0</v>
      </c>
      <c r="H7">
        <f>Data!$B$48</f>
        <v>1.3490877854608905E-4</v>
      </c>
      <c r="I7">
        <v>13395456</v>
      </c>
      <c r="J7">
        <v>-1</v>
      </c>
      <c r="K7">
        <v>10</v>
      </c>
      <c r="L7" t="s">
        <v>138</v>
      </c>
      <c r="M7">
        <v>1</v>
      </c>
      <c r="N7" t="s">
        <v>131</v>
      </c>
      <c r="O7">
        <v>-1</v>
      </c>
      <c r="P7">
        <v>3</v>
      </c>
      <c r="Q7">
        <v>-2147483633</v>
      </c>
      <c r="R7" t="s">
        <v>140</v>
      </c>
      <c r="S7" s="31"/>
      <c r="T7">
        <v>0</v>
      </c>
      <c r="U7">
        <v>0</v>
      </c>
      <c r="V7">
        <v>0</v>
      </c>
      <c r="W7" t="e">
        <f>M.17_Limits</f>
        <v>#VALUE!</v>
      </c>
      <c r="X7" t="s">
        <v>140</v>
      </c>
      <c r="Z7">
        <v>0</v>
      </c>
      <c r="AA7">
        <v>0</v>
      </c>
      <c r="AB7">
        <v>0</v>
      </c>
      <c r="AC7">
        <v>0</v>
      </c>
      <c r="AD7">
        <v>0</v>
      </c>
      <c r="AE7">
        <v>0</v>
      </c>
      <c r="AF7">
        <v>0</v>
      </c>
      <c r="AG7">
        <v>0</v>
      </c>
      <c r="AH7" t="s">
        <v>124</v>
      </c>
      <c r="AI7">
        <v>0</v>
      </c>
      <c r="AJ7">
        <v>11</v>
      </c>
      <c r="AK7" t="b">
        <v>0</v>
      </c>
      <c r="AL7" t="s">
        <v>125</v>
      </c>
      <c r="AM7" t="b">
        <v>0</v>
      </c>
      <c r="AN7" t="b">
        <v>0</v>
      </c>
      <c r="AO7" t="e">
        <f>M.17_Values</f>
        <v>#VALUE!</v>
      </c>
      <c r="AP7" t="s">
        <v>126</v>
      </c>
      <c r="AQ7" t="b">
        <v>0</v>
      </c>
      <c r="AR7">
        <v>16316664</v>
      </c>
      <c r="AS7">
        <v>0</v>
      </c>
      <c r="AT7" t="s">
        <v>127</v>
      </c>
      <c r="AU7" t="b">
        <v>0</v>
      </c>
      <c r="AV7">
        <v>13434624</v>
      </c>
      <c r="AW7">
        <v>16750848</v>
      </c>
      <c r="AX7" t="s">
        <v>127</v>
      </c>
      <c r="AY7">
        <v>0</v>
      </c>
      <c r="AZ7">
        <v>0.5</v>
      </c>
      <c r="BA7" t="s">
        <v>128</v>
      </c>
      <c r="BB7">
        <v>0.9</v>
      </c>
      <c r="BC7" t="b">
        <v>0</v>
      </c>
      <c r="BD7" t="b">
        <v>1</v>
      </c>
      <c r="BE7" t="b">
        <v>1</v>
      </c>
      <c r="BF7" t="b">
        <v>1</v>
      </c>
      <c r="BG7" t="b">
        <v>0</v>
      </c>
      <c r="BH7" t="b">
        <v>0</v>
      </c>
      <c r="BI7" t="b">
        <v>1</v>
      </c>
      <c r="BJ7" t="s">
        <v>129</v>
      </c>
      <c r="BK7" t="b">
        <v>1</v>
      </c>
      <c r="BL7" t="b">
        <v>0</v>
      </c>
    </row>
    <row r="8" spans="1:64" x14ac:dyDescent="0.2">
      <c r="A8" s="13" t="str">
        <f>Data!$C$74</f>
        <v>98%</v>
      </c>
      <c r="B8" s="30">
        <f>Data!$B$74</f>
        <v>0.98339763422318194</v>
      </c>
      <c r="C8">
        <v>255</v>
      </c>
      <c r="D8" t="s">
        <v>119</v>
      </c>
      <c r="E8">
        <v>3</v>
      </c>
      <c r="F8" t="s">
        <v>130</v>
      </c>
      <c r="G8">
        <f>Data!$B$48</f>
        <v>1.3490877854608905E-4</v>
      </c>
      <c r="H8">
        <f>Data!$B$47</f>
        <v>3.8758723621030056E-4</v>
      </c>
      <c r="I8">
        <v>16777215</v>
      </c>
      <c r="J8">
        <v>-1</v>
      </c>
      <c r="K8">
        <v>5</v>
      </c>
      <c r="L8" t="s">
        <v>138</v>
      </c>
      <c r="M8">
        <v>0</v>
      </c>
      <c r="N8" t="s">
        <v>131</v>
      </c>
      <c r="O8">
        <v>-1</v>
      </c>
      <c r="P8">
        <v>3</v>
      </c>
      <c r="Q8">
        <v>-2147483633</v>
      </c>
      <c r="R8" t="s">
        <v>141</v>
      </c>
      <c r="S8" s="31">
        <f>Data!$B$173</f>
        <v>662.3553544305779</v>
      </c>
      <c r="T8">
        <v>0</v>
      </c>
      <c r="U8">
        <v>0</v>
      </c>
      <c r="V8">
        <v>0</v>
      </c>
      <c r="W8" t="e">
        <f>M.18_Limits</f>
        <v>#VALUE!</v>
      </c>
      <c r="X8" t="s">
        <v>141</v>
      </c>
      <c r="Z8">
        <v>0</v>
      </c>
      <c r="AA8">
        <v>0</v>
      </c>
      <c r="AB8">
        <v>0</v>
      </c>
      <c r="AC8">
        <v>0</v>
      </c>
      <c r="AD8">
        <v>0</v>
      </c>
      <c r="AE8">
        <v>0</v>
      </c>
      <c r="AF8">
        <v>0</v>
      </c>
      <c r="AG8">
        <v>0</v>
      </c>
      <c r="AH8" t="s">
        <v>124</v>
      </c>
      <c r="AI8">
        <v>0</v>
      </c>
      <c r="AJ8">
        <v>11</v>
      </c>
      <c r="AK8" t="b">
        <v>0</v>
      </c>
      <c r="AL8" t="s">
        <v>125</v>
      </c>
      <c r="AM8" t="b">
        <v>0</v>
      </c>
      <c r="AN8" t="b">
        <v>0</v>
      </c>
      <c r="AO8" t="e">
        <f>M.18_Values</f>
        <v>#VALUE!</v>
      </c>
      <c r="AP8" t="s">
        <v>126</v>
      </c>
      <c r="AQ8" t="b">
        <v>0</v>
      </c>
      <c r="AR8">
        <v>16316664</v>
      </c>
      <c r="AS8">
        <v>0</v>
      </c>
      <c r="AT8" t="s">
        <v>127</v>
      </c>
      <c r="AU8" t="b">
        <v>0</v>
      </c>
      <c r="AV8">
        <v>13434624</v>
      </c>
      <c r="AW8">
        <v>16750848</v>
      </c>
      <c r="AX8" t="s">
        <v>127</v>
      </c>
      <c r="AY8">
        <v>0</v>
      </c>
      <c r="AZ8">
        <v>0.5</v>
      </c>
      <c r="BA8" t="s">
        <v>128</v>
      </c>
      <c r="BB8">
        <v>0.9</v>
      </c>
      <c r="BC8" t="b">
        <v>0</v>
      </c>
      <c r="BD8" t="b">
        <v>1</v>
      </c>
      <c r="BE8" t="b">
        <v>1</v>
      </c>
      <c r="BF8" t="b">
        <v>1</v>
      </c>
      <c r="BG8" t="b">
        <v>0</v>
      </c>
      <c r="BH8" t="b">
        <v>0</v>
      </c>
      <c r="BI8" t="b">
        <v>1</v>
      </c>
      <c r="BJ8" t="s">
        <v>129</v>
      </c>
      <c r="BK8" t="b">
        <v>1</v>
      </c>
      <c r="BL8" t="b">
        <v>0</v>
      </c>
    </row>
    <row r="9" spans="1:64" x14ac:dyDescent="0.2">
      <c r="A9" s="13" t="str">
        <f>Data!$C$133</f>
        <v>44%</v>
      </c>
      <c r="B9" s="30">
        <f>Data!$B$133</f>
        <v>0.44444444444444442</v>
      </c>
      <c r="C9">
        <v>6684672</v>
      </c>
      <c r="D9" t="s">
        <v>119</v>
      </c>
      <c r="E9">
        <v>3</v>
      </c>
      <c r="F9" t="s">
        <v>133</v>
      </c>
      <c r="G9">
        <f>Data!$B$47</f>
        <v>3.8758723621030056E-4</v>
      </c>
      <c r="H9">
        <f>Data!$B$45</f>
        <v>1.1061559044652201E-3</v>
      </c>
      <c r="I9">
        <v>13395456</v>
      </c>
      <c r="J9">
        <v>-1</v>
      </c>
      <c r="K9">
        <v>2000</v>
      </c>
      <c r="L9" t="s">
        <v>138</v>
      </c>
      <c r="M9">
        <v>0</v>
      </c>
      <c r="N9" t="s">
        <v>131</v>
      </c>
      <c r="O9">
        <v>-1</v>
      </c>
      <c r="P9">
        <v>3</v>
      </c>
      <c r="Q9">
        <v>-2147483633</v>
      </c>
      <c r="R9" t="s">
        <v>142</v>
      </c>
      <c r="S9" s="31">
        <f>Data!$B$193</f>
        <v>1</v>
      </c>
      <c r="T9">
        <v>0</v>
      </c>
      <c r="U9">
        <v>0</v>
      </c>
      <c r="V9">
        <v>0</v>
      </c>
      <c r="W9" t="e">
        <f>M.20_Limits</f>
        <v>#VALUE!</v>
      </c>
      <c r="X9" t="s">
        <v>142</v>
      </c>
      <c r="Z9">
        <v>0</v>
      </c>
      <c r="AA9">
        <v>0</v>
      </c>
      <c r="AB9">
        <v>0</v>
      </c>
      <c r="AC9">
        <v>0</v>
      </c>
      <c r="AD9">
        <v>0</v>
      </c>
      <c r="AE9">
        <v>0</v>
      </c>
      <c r="AF9">
        <v>0</v>
      </c>
      <c r="AG9">
        <v>0</v>
      </c>
      <c r="AH9" t="s">
        <v>124</v>
      </c>
      <c r="AI9">
        <v>0</v>
      </c>
      <c r="AJ9">
        <v>11</v>
      </c>
      <c r="AK9" t="b">
        <v>0</v>
      </c>
      <c r="AL9" t="s">
        <v>125</v>
      </c>
      <c r="AM9" t="b">
        <v>0</v>
      </c>
      <c r="AN9" t="b">
        <v>0</v>
      </c>
      <c r="AO9" t="e">
        <f>M.20_Values</f>
        <v>#VALUE!</v>
      </c>
      <c r="AP9" t="s">
        <v>126</v>
      </c>
      <c r="AQ9" t="b">
        <v>0</v>
      </c>
      <c r="AR9">
        <v>16316664</v>
      </c>
      <c r="AS9">
        <v>0</v>
      </c>
      <c r="AT9" t="s">
        <v>127</v>
      </c>
      <c r="AU9" t="b">
        <v>0</v>
      </c>
      <c r="AV9">
        <v>13434624</v>
      </c>
      <c r="AW9">
        <v>16750848</v>
      </c>
      <c r="AX9" t="s">
        <v>127</v>
      </c>
      <c r="AY9">
        <v>0</v>
      </c>
      <c r="AZ9">
        <v>0.5</v>
      </c>
      <c r="BA9" t="s">
        <v>128</v>
      </c>
      <c r="BB9">
        <v>0.9</v>
      </c>
      <c r="BC9" t="b">
        <v>0</v>
      </c>
      <c r="BD9" t="b">
        <v>1</v>
      </c>
      <c r="BE9" t="b">
        <v>1</v>
      </c>
      <c r="BF9" t="b">
        <v>1</v>
      </c>
      <c r="BG9" t="b">
        <v>0</v>
      </c>
      <c r="BH9" t="b">
        <v>0</v>
      </c>
      <c r="BI9" t="b">
        <v>1</v>
      </c>
      <c r="BJ9" t="s">
        <v>129</v>
      </c>
      <c r="BK9" t="b">
        <v>1</v>
      </c>
      <c r="BL9" t="b">
        <v>0</v>
      </c>
    </row>
    <row r="10" spans="1:64" x14ac:dyDescent="0.2">
      <c r="A10" s="13" t="str">
        <f>Data!$C$134</f>
        <v>54%</v>
      </c>
      <c r="B10" s="30">
        <f>Data!$B$134</f>
        <v>0.53878257160941168</v>
      </c>
      <c r="C10">
        <v>255</v>
      </c>
      <c r="D10" t="s">
        <v>119</v>
      </c>
      <c r="E10">
        <v>3</v>
      </c>
      <c r="F10" t="s">
        <v>120</v>
      </c>
      <c r="G10" s="30">
        <f>Data!$B$136</f>
        <v>0</v>
      </c>
      <c r="H10" s="30">
        <f>Data!$B$138</f>
        <v>0.33333333333333331</v>
      </c>
      <c r="I10">
        <v>13395456</v>
      </c>
      <c r="J10">
        <v>-1</v>
      </c>
      <c r="K10">
        <v>0.5</v>
      </c>
      <c r="L10" t="s">
        <v>138</v>
      </c>
      <c r="M10">
        <v>1</v>
      </c>
      <c r="N10" t="s">
        <v>131</v>
      </c>
      <c r="O10">
        <v>-1</v>
      </c>
      <c r="P10">
        <v>3</v>
      </c>
      <c r="Q10">
        <v>-2147483633</v>
      </c>
      <c r="R10" t="s">
        <v>143</v>
      </c>
      <c r="S10" s="30">
        <f>Data!$B$223</f>
        <v>0.35839160839160833</v>
      </c>
      <c r="T10">
        <v>0</v>
      </c>
      <c r="U10">
        <v>0</v>
      </c>
      <c r="V10">
        <v>0</v>
      </c>
      <c r="W10" t="e">
        <f>M.23_Limits</f>
        <v>#VALUE!</v>
      </c>
      <c r="X10" t="s">
        <v>143</v>
      </c>
      <c r="Z10">
        <v>0</v>
      </c>
      <c r="AA10">
        <v>0</v>
      </c>
      <c r="AB10">
        <v>0</v>
      </c>
      <c r="AC10">
        <v>0</v>
      </c>
      <c r="AD10">
        <v>0</v>
      </c>
      <c r="AE10">
        <v>0</v>
      </c>
      <c r="AF10">
        <v>0</v>
      </c>
      <c r="AG10">
        <v>0</v>
      </c>
      <c r="AH10" t="s">
        <v>124</v>
      </c>
      <c r="AI10">
        <v>0</v>
      </c>
      <c r="AJ10">
        <v>11</v>
      </c>
      <c r="AK10" t="b">
        <v>0</v>
      </c>
      <c r="AL10" t="s">
        <v>125</v>
      </c>
      <c r="AM10" t="b">
        <v>0</v>
      </c>
      <c r="AN10" t="b">
        <v>0</v>
      </c>
      <c r="AO10" t="e">
        <f>M.23_Values</f>
        <v>#VALUE!</v>
      </c>
      <c r="AP10" t="s">
        <v>126</v>
      </c>
      <c r="AQ10" t="b">
        <v>0</v>
      </c>
      <c r="AR10">
        <v>16316664</v>
      </c>
      <c r="AS10">
        <v>0</v>
      </c>
      <c r="AT10" t="s">
        <v>127</v>
      </c>
      <c r="AU10" t="b">
        <v>0</v>
      </c>
      <c r="AV10">
        <v>13434624</v>
      </c>
      <c r="AW10">
        <v>16750848</v>
      </c>
      <c r="AX10" t="s">
        <v>127</v>
      </c>
      <c r="AY10">
        <v>0</v>
      </c>
      <c r="AZ10">
        <v>0.5</v>
      </c>
      <c r="BA10" t="s">
        <v>128</v>
      </c>
      <c r="BB10">
        <v>0.9</v>
      </c>
      <c r="BC10" t="b">
        <v>0</v>
      </c>
      <c r="BD10" t="b">
        <v>1</v>
      </c>
      <c r="BE10" t="b">
        <v>1</v>
      </c>
      <c r="BF10" t="b">
        <v>1</v>
      </c>
      <c r="BG10" t="b">
        <v>0</v>
      </c>
      <c r="BH10" t="b">
        <v>0</v>
      </c>
      <c r="BI10" t="b">
        <v>1</v>
      </c>
      <c r="BJ10" t="s">
        <v>129</v>
      </c>
      <c r="BK10" t="b">
        <v>1</v>
      </c>
      <c r="BL10" t="b">
        <v>0</v>
      </c>
    </row>
    <row r="11" spans="1:64" x14ac:dyDescent="0.2">
      <c r="A11" s="31" t="str">
        <f>Data!$C$143</f>
        <v>20.3</v>
      </c>
      <c r="B11" s="31" t="str">
        <f>Data!$C$143</f>
        <v>20.3</v>
      </c>
      <c r="C11">
        <v>6684672</v>
      </c>
      <c r="D11" t="s">
        <v>119</v>
      </c>
      <c r="E11">
        <v>3</v>
      </c>
      <c r="F11" t="s">
        <v>130</v>
      </c>
      <c r="G11" s="30">
        <f>Data!$B$138</f>
        <v>0.33333333333333331</v>
      </c>
      <c r="H11" s="30">
        <f>Data!$B$137</f>
        <v>0.72249999999999992</v>
      </c>
      <c r="I11">
        <v>16777215</v>
      </c>
      <c r="J11">
        <v>-1</v>
      </c>
      <c r="K11">
        <v>0.1</v>
      </c>
      <c r="L11" t="s">
        <v>121</v>
      </c>
      <c r="M11">
        <v>1</v>
      </c>
      <c r="N11" t="s">
        <v>122</v>
      </c>
      <c r="O11">
        <v>-1</v>
      </c>
      <c r="P11">
        <v>3</v>
      </c>
      <c r="Q11">
        <v>-2147483633</v>
      </c>
      <c r="R11" t="s">
        <v>144</v>
      </c>
      <c r="S11" s="31">
        <f>Data!$B$233</f>
        <v>11.620269375975051</v>
      </c>
      <c r="T11">
        <v>0</v>
      </c>
      <c r="U11">
        <v>0</v>
      </c>
      <c r="V11">
        <v>0</v>
      </c>
      <c r="W11" t="e">
        <f>M.24_Limits</f>
        <v>#VALUE!</v>
      </c>
      <c r="X11" t="s">
        <v>144</v>
      </c>
      <c r="Z11">
        <v>0</v>
      </c>
      <c r="AA11">
        <v>0</v>
      </c>
      <c r="AB11">
        <v>0</v>
      </c>
      <c r="AC11">
        <v>0</v>
      </c>
      <c r="AD11">
        <v>0</v>
      </c>
      <c r="AE11">
        <v>0</v>
      </c>
      <c r="AF11">
        <v>0</v>
      </c>
      <c r="AG11">
        <v>0</v>
      </c>
      <c r="AH11" t="s">
        <v>124</v>
      </c>
      <c r="AI11">
        <v>0</v>
      </c>
      <c r="AJ11">
        <v>11</v>
      </c>
      <c r="AK11" t="b">
        <v>0</v>
      </c>
      <c r="AL11" t="s">
        <v>125</v>
      </c>
      <c r="AM11" t="b">
        <v>0</v>
      </c>
      <c r="AN11" t="b">
        <v>0</v>
      </c>
      <c r="AO11" t="e">
        <f>M.24_Values</f>
        <v>#VALUE!</v>
      </c>
      <c r="AP11" t="s">
        <v>126</v>
      </c>
      <c r="AQ11" t="b">
        <v>0</v>
      </c>
      <c r="AR11">
        <v>16316664</v>
      </c>
      <c r="AS11">
        <v>0</v>
      </c>
      <c r="AT11" t="s">
        <v>127</v>
      </c>
      <c r="AU11" t="b">
        <v>0</v>
      </c>
      <c r="AV11">
        <v>13434624</v>
      </c>
      <c r="AW11">
        <v>16750848</v>
      </c>
      <c r="AX11" t="s">
        <v>127</v>
      </c>
      <c r="AY11">
        <v>0</v>
      </c>
      <c r="AZ11">
        <v>0.5</v>
      </c>
      <c r="BA11" t="s">
        <v>128</v>
      </c>
      <c r="BB11">
        <v>0.9</v>
      </c>
      <c r="BC11" t="b">
        <v>0</v>
      </c>
      <c r="BD11" t="b">
        <v>1</v>
      </c>
      <c r="BE11" t="b">
        <v>1</v>
      </c>
      <c r="BF11" t="b">
        <v>1</v>
      </c>
      <c r="BG11" t="b">
        <v>0</v>
      </c>
      <c r="BH11" t="b">
        <v>0</v>
      </c>
      <c r="BI11" t="b">
        <v>1</v>
      </c>
      <c r="BJ11" t="s">
        <v>129</v>
      </c>
      <c r="BK11" t="b">
        <v>1</v>
      </c>
      <c r="BL11" t="b">
        <v>0</v>
      </c>
    </row>
    <row r="12" spans="1:64" x14ac:dyDescent="0.2">
      <c r="A12" s="31" t="str">
        <f>Data!$C$144</f>
        <v>32.0</v>
      </c>
      <c r="B12" s="31" t="str">
        <f>Data!$C$144</f>
        <v>32.0</v>
      </c>
      <c r="C12">
        <v>255</v>
      </c>
      <c r="D12" t="s">
        <v>119</v>
      </c>
      <c r="E12">
        <v>3</v>
      </c>
      <c r="F12" t="s">
        <v>133</v>
      </c>
      <c r="G12" s="30">
        <f>Data!$B$137</f>
        <v>0.72249999999999992</v>
      </c>
      <c r="H12" s="30">
        <f>Data!$B$135</f>
        <v>1</v>
      </c>
      <c r="I12">
        <v>13395456</v>
      </c>
      <c r="J12">
        <v>-1</v>
      </c>
      <c r="K12">
        <v>2</v>
      </c>
      <c r="L12" t="s">
        <v>138</v>
      </c>
      <c r="M12">
        <v>1</v>
      </c>
      <c r="N12" t="s">
        <v>131</v>
      </c>
      <c r="O12">
        <v>-1</v>
      </c>
      <c r="P12">
        <v>3</v>
      </c>
      <c r="Q12">
        <v>-2147483633</v>
      </c>
      <c r="R12" t="s">
        <v>145</v>
      </c>
      <c r="S12" s="32"/>
      <c r="T12">
        <v>0</v>
      </c>
      <c r="U12">
        <v>0</v>
      </c>
      <c r="V12">
        <v>0</v>
      </c>
      <c r="W12" t="e">
        <f>M.26_Limits</f>
        <v>#VALUE!</v>
      </c>
      <c r="X12" t="s">
        <v>145</v>
      </c>
      <c r="Z12">
        <v>0</v>
      </c>
      <c r="AA12">
        <v>0</v>
      </c>
      <c r="AB12">
        <v>0</v>
      </c>
      <c r="AC12">
        <v>0</v>
      </c>
      <c r="AD12">
        <v>0</v>
      </c>
      <c r="AE12">
        <v>0</v>
      </c>
      <c r="AF12">
        <v>0</v>
      </c>
      <c r="AG12">
        <v>0</v>
      </c>
      <c r="AH12" t="s">
        <v>124</v>
      </c>
      <c r="AI12">
        <v>0</v>
      </c>
      <c r="AJ12">
        <v>11</v>
      </c>
      <c r="AK12" t="b">
        <v>0</v>
      </c>
      <c r="AL12" t="s">
        <v>125</v>
      </c>
      <c r="AM12" t="b">
        <v>0</v>
      </c>
      <c r="AN12" t="b">
        <v>0</v>
      </c>
      <c r="AO12" t="e">
        <f>M.26_Values</f>
        <v>#VALUE!</v>
      </c>
      <c r="AP12" t="s">
        <v>126</v>
      </c>
      <c r="AQ12" t="b">
        <v>0</v>
      </c>
      <c r="AR12">
        <v>16316664</v>
      </c>
      <c r="AS12">
        <v>0</v>
      </c>
      <c r="AT12" t="s">
        <v>127</v>
      </c>
      <c r="AU12" t="b">
        <v>0</v>
      </c>
      <c r="AV12">
        <v>13434624</v>
      </c>
      <c r="AW12">
        <v>16750848</v>
      </c>
      <c r="AX12" t="s">
        <v>127</v>
      </c>
      <c r="AY12">
        <v>0</v>
      </c>
      <c r="AZ12">
        <v>0.5</v>
      </c>
      <c r="BA12" t="s">
        <v>128</v>
      </c>
      <c r="BB12">
        <v>0.9</v>
      </c>
      <c r="BC12" t="b">
        <v>0</v>
      </c>
      <c r="BD12" t="b">
        <v>1</v>
      </c>
      <c r="BE12" t="b">
        <v>1</v>
      </c>
      <c r="BF12" t="b">
        <v>1</v>
      </c>
      <c r="BG12" t="b">
        <v>0</v>
      </c>
      <c r="BH12" t="b">
        <v>0</v>
      </c>
      <c r="BI12" t="b">
        <v>1</v>
      </c>
      <c r="BJ12" t="s">
        <v>129</v>
      </c>
      <c r="BK12" t="b">
        <v>1</v>
      </c>
      <c r="BL12" t="b">
        <v>0</v>
      </c>
    </row>
    <row r="13" spans="1:64" x14ac:dyDescent="0.2">
      <c r="A13" s="31" t="str">
        <f>Data!$C$153</f>
        <v>111.1</v>
      </c>
      <c r="B13" s="31">
        <f>Data!$B$153</f>
        <v>111.11111111111111</v>
      </c>
      <c r="C13">
        <v>6684672</v>
      </c>
      <c r="D13" t="s">
        <v>119</v>
      </c>
      <c r="E13">
        <v>3</v>
      </c>
      <c r="F13" t="s">
        <v>120</v>
      </c>
      <c r="G13" s="31">
        <f>Data!$B$146</f>
        <v>2.6315789473684212</v>
      </c>
      <c r="H13" s="31">
        <f>Data!$B$148</f>
        <v>18.181818181818183</v>
      </c>
      <c r="I13">
        <v>13395456</v>
      </c>
      <c r="J13">
        <v>-1</v>
      </c>
      <c r="K13">
        <v>10</v>
      </c>
      <c r="L13" t="s">
        <v>146</v>
      </c>
      <c r="M13">
        <v>0</v>
      </c>
      <c r="N13" t="s">
        <v>131</v>
      </c>
      <c r="O13">
        <v>-1</v>
      </c>
      <c r="P13">
        <v>3</v>
      </c>
      <c r="Q13">
        <v>-2147483633</v>
      </c>
      <c r="R13" t="s">
        <v>147</v>
      </c>
      <c r="S13" s="30"/>
      <c r="T13">
        <v>0</v>
      </c>
      <c r="U13">
        <v>0</v>
      </c>
      <c r="V13">
        <v>0</v>
      </c>
      <c r="W13" t="e">
        <f>M.27_Limits</f>
        <v>#VALUE!</v>
      </c>
      <c r="X13" t="s">
        <v>147</v>
      </c>
      <c r="Z13">
        <v>0</v>
      </c>
      <c r="AA13">
        <v>0</v>
      </c>
      <c r="AB13">
        <v>0</v>
      </c>
      <c r="AC13">
        <v>0</v>
      </c>
      <c r="AD13">
        <v>0</v>
      </c>
      <c r="AE13">
        <v>0</v>
      </c>
      <c r="AF13">
        <v>0</v>
      </c>
      <c r="AG13">
        <v>0</v>
      </c>
      <c r="AH13" t="s">
        <v>124</v>
      </c>
      <c r="AI13">
        <v>0</v>
      </c>
      <c r="AJ13">
        <v>8</v>
      </c>
      <c r="AK13" t="b">
        <v>0</v>
      </c>
      <c r="AL13" t="s">
        <v>148</v>
      </c>
      <c r="AM13" t="b">
        <v>0</v>
      </c>
      <c r="AN13" t="b">
        <v>0</v>
      </c>
      <c r="AO13" t="e">
        <f>M.27_Values</f>
        <v>#VALUE!</v>
      </c>
      <c r="AP13" t="s">
        <v>126</v>
      </c>
      <c r="AQ13" t="b">
        <v>0</v>
      </c>
      <c r="AR13">
        <v>16316664</v>
      </c>
      <c r="AS13">
        <v>0</v>
      </c>
      <c r="AT13" t="s">
        <v>127</v>
      </c>
      <c r="AU13" t="b">
        <v>0</v>
      </c>
      <c r="AV13">
        <v>13434624</v>
      </c>
      <c r="AW13">
        <v>16750848</v>
      </c>
      <c r="AX13" t="s">
        <v>127</v>
      </c>
      <c r="AY13">
        <v>0</v>
      </c>
      <c r="AZ13">
        <v>0.5</v>
      </c>
      <c r="BA13" t="s">
        <v>128</v>
      </c>
      <c r="BB13">
        <v>0.9</v>
      </c>
      <c r="BC13" t="b">
        <v>0</v>
      </c>
      <c r="BD13" t="b">
        <v>1</v>
      </c>
      <c r="BE13" t="b">
        <v>1</v>
      </c>
      <c r="BF13" t="b">
        <v>1</v>
      </c>
      <c r="BG13" t="b">
        <v>0</v>
      </c>
      <c r="BH13" t="b">
        <v>0</v>
      </c>
      <c r="BI13" t="b">
        <v>1</v>
      </c>
      <c r="BJ13" t="s">
        <v>129</v>
      </c>
      <c r="BK13" t="b">
        <v>1</v>
      </c>
      <c r="BL13" t="b">
        <v>0</v>
      </c>
    </row>
    <row r="14" spans="1:64" x14ac:dyDescent="0.2">
      <c r="A14" s="31" t="str">
        <f>Data!$C$154</f>
        <v>119.9</v>
      </c>
      <c r="B14" s="31">
        <f>Data!$B$154</f>
        <v>119.863872599808</v>
      </c>
      <c r="C14">
        <v>255</v>
      </c>
      <c r="D14" t="s">
        <v>119</v>
      </c>
      <c r="E14">
        <v>3</v>
      </c>
      <c r="F14" t="s">
        <v>130</v>
      </c>
      <c r="G14" s="31">
        <f>Data!$B$148</f>
        <v>18.181818181818183</v>
      </c>
      <c r="H14" s="31">
        <f>Data!$B$147</f>
        <v>43.678160919540225</v>
      </c>
      <c r="I14">
        <v>16777215</v>
      </c>
      <c r="J14">
        <v>-1</v>
      </c>
      <c r="K14">
        <v>0.1</v>
      </c>
      <c r="L14" t="s">
        <v>121</v>
      </c>
      <c r="M14">
        <v>1</v>
      </c>
      <c r="N14" t="s">
        <v>131</v>
      </c>
      <c r="O14">
        <v>-1</v>
      </c>
      <c r="P14">
        <v>3</v>
      </c>
      <c r="Q14">
        <v>-2147483633</v>
      </c>
      <c r="R14" t="s">
        <v>149</v>
      </c>
      <c r="S14" s="30"/>
      <c r="T14">
        <v>0</v>
      </c>
      <c r="U14">
        <v>0</v>
      </c>
      <c r="V14">
        <v>0</v>
      </c>
      <c r="W14" t="e">
        <f>M.28_Limits</f>
        <v>#VALUE!</v>
      </c>
      <c r="X14" t="s">
        <v>149</v>
      </c>
      <c r="Z14">
        <v>0</v>
      </c>
      <c r="AA14">
        <v>0</v>
      </c>
      <c r="AB14">
        <v>0</v>
      </c>
      <c r="AC14">
        <v>0</v>
      </c>
      <c r="AD14">
        <v>0</v>
      </c>
      <c r="AE14">
        <v>0</v>
      </c>
      <c r="AF14">
        <v>0</v>
      </c>
      <c r="AG14">
        <v>0</v>
      </c>
      <c r="AH14" t="s">
        <v>124</v>
      </c>
      <c r="AI14">
        <v>0</v>
      </c>
      <c r="AJ14">
        <v>11</v>
      </c>
      <c r="AK14" t="b">
        <v>0</v>
      </c>
      <c r="AL14" t="s">
        <v>125</v>
      </c>
      <c r="AM14" t="b">
        <v>0</v>
      </c>
      <c r="AN14" t="b">
        <v>0</v>
      </c>
      <c r="AO14" t="e">
        <f>M.28_Values</f>
        <v>#VALUE!</v>
      </c>
      <c r="AP14" t="s">
        <v>126</v>
      </c>
      <c r="AQ14" t="b">
        <v>0</v>
      </c>
      <c r="AR14">
        <v>16316664</v>
      </c>
      <c r="AS14">
        <v>0</v>
      </c>
      <c r="AT14" t="s">
        <v>127</v>
      </c>
      <c r="AU14" t="b">
        <v>0</v>
      </c>
      <c r="AV14">
        <v>13434624</v>
      </c>
      <c r="AW14">
        <v>16750848</v>
      </c>
      <c r="AX14" t="s">
        <v>127</v>
      </c>
      <c r="AY14">
        <v>0</v>
      </c>
      <c r="AZ14">
        <v>0.5</v>
      </c>
      <c r="BA14" t="s">
        <v>128</v>
      </c>
      <c r="BB14">
        <v>0.9</v>
      </c>
      <c r="BC14" t="b">
        <v>0</v>
      </c>
      <c r="BD14" t="b">
        <v>1</v>
      </c>
      <c r="BE14" t="b">
        <v>1</v>
      </c>
      <c r="BF14" t="b">
        <v>1</v>
      </c>
      <c r="BG14" t="b">
        <v>0</v>
      </c>
      <c r="BH14" t="b">
        <v>0</v>
      </c>
      <c r="BI14" t="b">
        <v>1</v>
      </c>
      <c r="BJ14" t="s">
        <v>129</v>
      </c>
      <c r="BK14" t="b">
        <v>1</v>
      </c>
      <c r="BL14" t="b">
        <v>0</v>
      </c>
    </row>
    <row r="15" spans="1:64" x14ac:dyDescent="0.2">
      <c r="A15" s="31" t="str">
        <f>Data!$C$163</f>
        <v>15</v>
      </c>
      <c r="B15" s="31">
        <f>Data!$B$163</f>
        <v>15</v>
      </c>
      <c r="C15">
        <v>6684672</v>
      </c>
      <c r="D15" t="s">
        <v>119</v>
      </c>
      <c r="E15">
        <v>3</v>
      </c>
      <c r="F15" t="s">
        <v>133</v>
      </c>
      <c r="G15" s="31">
        <f>Data!$B$147</f>
        <v>43.678160919540225</v>
      </c>
      <c r="H15" s="31">
        <f>Data!$B$145</f>
        <v>104.16666666666667</v>
      </c>
      <c r="I15">
        <v>13395456</v>
      </c>
      <c r="J15">
        <v>-1</v>
      </c>
      <c r="K15">
        <v>0.2</v>
      </c>
      <c r="L15" t="s">
        <v>121</v>
      </c>
      <c r="M15">
        <v>1</v>
      </c>
      <c r="N15" t="s">
        <v>131</v>
      </c>
      <c r="O15">
        <v>-1</v>
      </c>
      <c r="P15">
        <v>3</v>
      </c>
      <c r="Q15">
        <v>-2147483633</v>
      </c>
      <c r="R15" t="s">
        <v>150</v>
      </c>
      <c r="S15" s="31"/>
      <c r="T15">
        <v>0</v>
      </c>
      <c r="U15">
        <v>0</v>
      </c>
      <c r="V15">
        <v>0</v>
      </c>
      <c r="W15" t="e">
        <f>M.29_Limits</f>
        <v>#VALUE!</v>
      </c>
      <c r="X15" t="s">
        <v>150</v>
      </c>
      <c r="Z15">
        <v>0</v>
      </c>
      <c r="AA15">
        <v>0</v>
      </c>
      <c r="AB15">
        <v>0</v>
      </c>
      <c r="AC15">
        <v>0</v>
      </c>
      <c r="AD15">
        <v>0</v>
      </c>
      <c r="AE15">
        <v>0</v>
      </c>
      <c r="AF15">
        <v>0</v>
      </c>
      <c r="AG15">
        <v>0</v>
      </c>
      <c r="AH15" t="s">
        <v>124</v>
      </c>
      <c r="AI15">
        <v>0</v>
      </c>
      <c r="AJ15">
        <v>11</v>
      </c>
      <c r="AK15" t="b">
        <v>0</v>
      </c>
      <c r="AL15" t="s">
        <v>125</v>
      </c>
      <c r="AM15" t="b">
        <v>0</v>
      </c>
      <c r="AN15" t="b">
        <v>0</v>
      </c>
      <c r="AO15" t="e">
        <f>M.29_Values</f>
        <v>#VALUE!</v>
      </c>
      <c r="AP15" t="s">
        <v>126</v>
      </c>
      <c r="AQ15" t="b">
        <v>0</v>
      </c>
      <c r="AR15">
        <v>16316664</v>
      </c>
      <c r="AS15">
        <v>0</v>
      </c>
      <c r="AT15" t="s">
        <v>127</v>
      </c>
      <c r="AU15" t="b">
        <v>0</v>
      </c>
      <c r="AV15">
        <v>13434624</v>
      </c>
      <c r="AW15">
        <v>16750848</v>
      </c>
      <c r="AX15" t="s">
        <v>127</v>
      </c>
      <c r="AY15">
        <v>0</v>
      </c>
      <c r="AZ15">
        <v>0.5</v>
      </c>
      <c r="BA15" t="s">
        <v>128</v>
      </c>
      <c r="BB15">
        <v>0.9</v>
      </c>
      <c r="BC15" t="b">
        <v>0</v>
      </c>
      <c r="BD15" t="b">
        <v>1</v>
      </c>
      <c r="BE15" t="b">
        <v>1</v>
      </c>
      <c r="BF15" t="b">
        <v>1</v>
      </c>
      <c r="BG15" t="b">
        <v>0</v>
      </c>
      <c r="BH15" t="b">
        <v>0</v>
      </c>
      <c r="BI15" t="b">
        <v>1</v>
      </c>
      <c r="BJ15" t="s">
        <v>129</v>
      </c>
      <c r="BK15" t="b">
        <v>1</v>
      </c>
      <c r="BL15" t="b">
        <v>0</v>
      </c>
    </row>
    <row r="16" spans="1:64" x14ac:dyDescent="0.2">
      <c r="A16" s="31" t="str">
        <f>Data!$C$164</f>
        <v>4</v>
      </c>
      <c r="B16" s="31">
        <f>Data!$B$164</f>
        <v>4.0896823074171653</v>
      </c>
      <c r="C16">
        <v>255</v>
      </c>
      <c r="D16" t="s">
        <v>119</v>
      </c>
      <c r="E16">
        <v>3</v>
      </c>
      <c r="F16" t="s">
        <v>120</v>
      </c>
      <c r="G16" s="31">
        <f>Data!$B$156</f>
        <v>72.727272727272734</v>
      </c>
      <c r="H16" s="31">
        <f>Data!$B$158</f>
        <v>105.57275541795667</v>
      </c>
      <c r="I16">
        <v>13395456</v>
      </c>
      <c r="J16">
        <v>-1</v>
      </c>
      <c r="K16">
        <v>2</v>
      </c>
      <c r="L16" t="s">
        <v>138</v>
      </c>
      <c r="M16">
        <v>1</v>
      </c>
      <c r="N16" t="s">
        <v>131</v>
      </c>
      <c r="O16">
        <v>-1</v>
      </c>
      <c r="P16">
        <v>3</v>
      </c>
      <c r="Q16">
        <v>-2147483633</v>
      </c>
      <c r="R16" t="s">
        <v>151</v>
      </c>
      <c r="S16" s="32"/>
      <c r="T16">
        <v>0</v>
      </c>
      <c r="U16">
        <v>0</v>
      </c>
      <c r="V16">
        <v>0</v>
      </c>
      <c r="W16" t="e">
        <f>M.30_Limits</f>
        <v>#VALUE!</v>
      </c>
      <c r="X16" t="s">
        <v>151</v>
      </c>
      <c r="Z16">
        <v>0</v>
      </c>
      <c r="AA16">
        <v>0</v>
      </c>
      <c r="AB16">
        <v>0</v>
      </c>
      <c r="AC16">
        <v>0</v>
      </c>
      <c r="AD16">
        <v>0</v>
      </c>
      <c r="AE16">
        <v>0</v>
      </c>
      <c r="AF16">
        <v>0</v>
      </c>
      <c r="AG16">
        <v>0</v>
      </c>
      <c r="AH16" t="s">
        <v>124</v>
      </c>
      <c r="AI16">
        <v>0</v>
      </c>
      <c r="AJ16">
        <v>11</v>
      </c>
      <c r="AK16" t="b">
        <v>0</v>
      </c>
      <c r="AL16" t="s">
        <v>125</v>
      </c>
      <c r="AM16" t="b">
        <v>0</v>
      </c>
      <c r="AN16" t="b">
        <v>0</v>
      </c>
      <c r="AO16" t="e">
        <f>M.30_Values</f>
        <v>#VALUE!</v>
      </c>
      <c r="AP16" t="s">
        <v>126</v>
      </c>
      <c r="AQ16" t="b">
        <v>0</v>
      </c>
      <c r="AR16">
        <v>16316664</v>
      </c>
      <c r="AS16">
        <v>0</v>
      </c>
      <c r="AT16" t="s">
        <v>127</v>
      </c>
      <c r="AU16" t="b">
        <v>0</v>
      </c>
      <c r="AV16">
        <v>13434624</v>
      </c>
      <c r="AW16">
        <v>16750848</v>
      </c>
      <c r="AX16" t="s">
        <v>127</v>
      </c>
      <c r="AY16">
        <v>0</v>
      </c>
      <c r="AZ16">
        <v>0.5</v>
      </c>
      <c r="BA16" t="s">
        <v>128</v>
      </c>
      <c r="BB16">
        <v>0.9</v>
      </c>
      <c r="BC16" t="b">
        <v>0</v>
      </c>
      <c r="BD16" t="b">
        <v>1</v>
      </c>
      <c r="BE16" t="b">
        <v>1</v>
      </c>
      <c r="BF16" t="b">
        <v>1</v>
      </c>
      <c r="BG16" t="b">
        <v>0</v>
      </c>
      <c r="BH16" t="b">
        <v>0</v>
      </c>
      <c r="BI16" t="b">
        <v>1</v>
      </c>
      <c r="BJ16" t="s">
        <v>129</v>
      </c>
      <c r="BK16" t="b">
        <v>1</v>
      </c>
      <c r="BL16" t="b">
        <v>0</v>
      </c>
    </row>
    <row r="17" spans="1:64" x14ac:dyDescent="0.2">
      <c r="A17" s="31" t="str">
        <f>Data!$C$173</f>
        <v>662</v>
      </c>
      <c r="B17" s="31">
        <f>Data!$B$173</f>
        <v>662.3553544305779</v>
      </c>
      <c r="C17">
        <v>6684672</v>
      </c>
      <c r="D17" t="s">
        <v>119</v>
      </c>
      <c r="E17">
        <v>3</v>
      </c>
      <c r="F17" t="s">
        <v>130</v>
      </c>
      <c r="G17" s="31">
        <f>Data!$B$158</f>
        <v>105.57275541795667</v>
      </c>
      <c r="H17" s="31">
        <f>Data!$B$157</f>
        <v>133.33333333333334</v>
      </c>
      <c r="I17">
        <v>16777215</v>
      </c>
      <c r="J17">
        <v>-1</v>
      </c>
      <c r="K17">
        <v>2</v>
      </c>
      <c r="L17" t="s">
        <v>146</v>
      </c>
      <c r="M17">
        <v>2</v>
      </c>
      <c r="N17" t="s">
        <v>131</v>
      </c>
      <c r="O17">
        <v>-1</v>
      </c>
      <c r="P17">
        <v>3</v>
      </c>
      <c r="Q17">
        <v>-2147483633</v>
      </c>
      <c r="R17" t="s">
        <v>152</v>
      </c>
      <c r="T17">
        <v>0</v>
      </c>
      <c r="U17">
        <v>0</v>
      </c>
      <c r="V17">
        <v>0</v>
      </c>
      <c r="W17" t="e">
        <f>M.6_Limits</f>
        <v>#VALUE!</v>
      </c>
      <c r="X17" t="s">
        <v>152</v>
      </c>
      <c r="Z17">
        <v>0</v>
      </c>
      <c r="AA17">
        <v>0</v>
      </c>
      <c r="AB17">
        <v>0</v>
      </c>
      <c r="AC17">
        <v>0</v>
      </c>
      <c r="AD17">
        <v>0</v>
      </c>
      <c r="AE17">
        <v>0</v>
      </c>
      <c r="AF17">
        <v>0</v>
      </c>
      <c r="AG17">
        <v>0</v>
      </c>
      <c r="AH17" t="s">
        <v>124</v>
      </c>
      <c r="AI17">
        <v>0</v>
      </c>
      <c r="AJ17">
        <v>11</v>
      </c>
      <c r="AK17" t="b">
        <v>0</v>
      </c>
      <c r="AL17" t="s">
        <v>125</v>
      </c>
      <c r="AM17" t="b">
        <v>0</v>
      </c>
      <c r="AN17" t="b">
        <v>0</v>
      </c>
      <c r="AO17" t="e">
        <f>M.6_Values</f>
        <v>#VALUE!</v>
      </c>
      <c r="AP17" t="s">
        <v>126</v>
      </c>
      <c r="AQ17" t="b">
        <v>0</v>
      </c>
      <c r="AR17">
        <v>16316664</v>
      </c>
      <c r="AS17">
        <v>0</v>
      </c>
      <c r="AT17" t="s">
        <v>127</v>
      </c>
      <c r="AU17" t="b">
        <v>0</v>
      </c>
      <c r="AV17">
        <v>13434624</v>
      </c>
      <c r="AW17">
        <v>16750848</v>
      </c>
      <c r="AX17" t="s">
        <v>127</v>
      </c>
      <c r="AY17">
        <v>0</v>
      </c>
      <c r="AZ17">
        <v>0.5</v>
      </c>
      <c r="BA17" t="s">
        <v>128</v>
      </c>
      <c r="BB17">
        <v>0.9</v>
      </c>
      <c r="BC17" t="b">
        <v>0</v>
      </c>
      <c r="BD17" t="b">
        <v>1</v>
      </c>
      <c r="BE17" t="b">
        <v>1</v>
      </c>
      <c r="BF17" t="b">
        <v>1</v>
      </c>
      <c r="BG17" t="b">
        <v>0</v>
      </c>
      <c r="BH17" t="b">
        <v>0</v>
      </c>
      <c r="BI17" t="b">
        <v>1</v>
      </c>
      <c r="BJ17" t="s">
        <v>129</v>
      </c>
      <c r="BK17" t="b">
        <v>1</v>
      </c>
      <c r="BL17" t="b">
        <v>0</v>
      </c>
    </row>
    <row r="18" spans="1:64" x14ac:dyDescent="0.2">
      <c r="A18" s="31" t="str">
        <f>Data!$C$174</f>
        <v>1719</v>
      </c>
      <c r="B18" s="31">
        <f>Data!$B$174</f>
        <v>1719.4681307989199</v>
      </c>
      <c r="C18">
        <v>255</v>
      </c>
      <c r="D18" t="s">
        <v>119</v>
      </c>
      <c r="E18">
        <v>3</v>
      </c>
      <c r="F18" t="s">
        <v>133</v>
      </c>
      <c r="G18" s="31">
        <f>Data!$B$157</f>
        <v>133.33333333333334</v>
      </c>
      <c r="H18" s="31">
        <f>Data!$B$155</f>
        <v>190</v>
      </c>
      <c r="I18">
        <v>13395456</v>
      </c>
      <c r="J18">
        <v>-1</v>
      </c>
      <c r="K18" s="37">
        <f>Data!$D$52</f>
        <v>1.7361111111111112E-4</v>
      </c>
      <c r="L18" t="s">
        <v>134</v>
      </c>
      <c r="M18">
        <v>10</v>
      </c>
      <c r="N18" t="s">
        <v>122</v>
      </c>
      <c r="O18">
        <v>-1</v>
      </c>
      <c r="P18">
        <v>3</v>
      </c>
      <c r="Q18">
        <v>-2147483633</v>
      </c>
      <c r="R18" t="s">
        <v>153</v>
      </c>
      <c r="T18">
        <v>0</v>
      </c>
      <c r="U18">
        <v>0</v>
      </c>
      <c r="V18">
        <v>0</v>
      </c>
      <c r="W18" t="e">
        <f>M.12_Limits</f>
        <v>#VALUE!</v>
      </c>
      <c r="X18" t="s">
        <v>153</v>
      </c>
      <c r="Z18">
        <v>0</v>
      </c>
      <c r="AA18">
        <v>0</v>
      </c>
      <c r="AB18">
        <v>0</v>
      </c>
      <c r="AC18">
        <v>0</v>
      </c>
      <c r="AD18">
        <v>0</v>
      </c>
      <c r="AE18">
        <v>0</v>
      </c>
      <c r="AF18">
        <v>0</v>
      </c>
      <c r="AG18">
        <v>0</v>
      </c>
      <c r="AH18" t="s">
        <v>124</v>
      </c>
      <c r="AI18">
        <v>0</v>
      </c>
      <c r="AJ18">
        <v>11</v>
      </c>
      <c r="AK18" t="b">
        <v>0</v>
      </c>
      <c r="AL18" t="s">
        <v>125</v>
      </c>
      <c r="AM18" t="b">
        <v>0</v>
      </c>
      <c r="AN18" t="b">
        <v>0</v>
      </c>
      <c r="AO18" t="e">
        <f>M.12_Values</f>
        <v>#VALUE!</v>
      </c>
      <c r="AP18" t="s">
        <v>126</v>
      </c>
      <c r="AQ18" t="b">
        <v>0</v>
      </c>
      <c r="AR18">
        <v>16316664</v>
      </c>
      <c r="AS18">
        <v>0</v>
      </c>
      <c r="AT18" t="s">
        <v>127</v>
      </c>
      <c r="AU18" t="b">
        <v>0</v>
      </c>
      <c r="AV18">
        <v>13434624</v>
      </c>
      <c r="AW18">
        <v>16750848</v>
      </c>
      <c r="AX18" t="s">
        <v>127</v>
      </c>
      <c r="AY18">
        <v>0</v>
      </c>
      <c r="AZ18">
        <v>0.5</v>
      </c>
      <c r="BA18" t="s">
        <v>128</v>
      </c>
      <c r="BB18">
        <v>0.9</v>
      </c>
      <c r="BC18" t="b">
        <v>0</v>
      </c>
      <c r="BD18" t="b">
        <v>1</v>
      </c>
      <c r="BE18" t="b">
        <v>1</v>
      </c>
      <c r="BF18" t="b">
        <v>1</v>
      </c>
      <c r="BG18" t="b">
        <v>0</v>
      </c>
      <c r="BH18" t="b">
        <v>0</v>
      </c>
      <c r="BI18" t="b">
        <v>1</v>
      </c>
      <c r="BJ18" t="s">
        <v>129</v>
      </c>
      <c r="BK18" t="b">
        <v>1</v>
      </c>
      <c r="BL18" t="b">
        <v>0</v>
      </c>
    </row>
    <row r="19" spans="1:64" x14ac:dyDescent="0.2">
      <c r="A19" s="31" t="str">
        <f>Data!$C$193</f>
        <v>1.0</v>
      </c>
      <c r="B19" s="31">
        <f>Data!$B$193</f>
        <v>1</v>
      </c>
      <c r="C19">
        <v>6684672</v>
      </c>
      <c r="D19" t="s">
        <v>119</v>
      </c>
      <c r="E19">
        <v>3</v>
      </c>
      <c r="F19" t="s">
        <v>120</v>
      </c>
      <c r="G19" s="31">
        <f>Data!$B$166</f>
        <v>0</v>
      </c>
      <c r="H19" s="31">
        <f>Data!$B$168</f>
        <v>0.16666666666666666</v>
      </c>
      <c r="I19">
        <v>13395456</v>
      </c>
      <c r="J19">
        <v>-1</v>
      </c>
      <c r="K19" s="37">
        <f>Data!$D$112</f>
        <v>1.7361111111111112E-4</v>
      </c>
      <c r="L19" t="s">
        <v>134</v>
      </c>
      <c r="M19">
        <v>10</v>
      </c>
      <c r="N19" t="s">
        <v>122</v>
      </c>
      <c r="O19">
        <v>-1</v>
      </c>
      <c r="P19">
        <v>3</v>
      </c>
      <c r="Q19">
        <v>-2147483633</v>
      </c>
      <c r="R19" t="s">
        <v>154</v>
      </c>
      <c r="T19">
        <v>0</v>
      </c>
      <c r="U19">
        <v>0</v>
      </c>
      <c r="V19">
        <v>0</v>
      </c>
      <c r="W19" t="e">
        <f>M.13_Limits</f>
        <v>#VALUE!</v>
      </c>
      <c r="X19" t="s">
        <v>154</v>
      </c>
      <c r="Z19">
        <v>0</v>
      </c>
      <c r="AA19">
        <v>0</v>
      </c>
      <c r="AB19">
        <v>0</v>
      </c>
      <c r="AC19">
        <v>0</v>
      </c>
      <c r="AD19">
        <v>0</v>
      </c>
      <c r="AE19">
        <v>0</v>
      </c>
      <c r="AF19">
        <v>0</v>
      </c>
      <c r="AG19">
        <v>0</v>
      </c>
      <c r="AH19" t="s">
        <v>124</v>
      </c>
      <c r="AI19">
        <v>0</v>
      </c>
      <c r="AJ19">
        <v>11</v>
      </c>
      <c r="AK19" t="b">
        <v>0</v>
      </c>
      <c r="AL19" t="s">
        <v>125</v>
      </c>
      <c r="AM19" t="b">
        <v>0</v>
      </c>
      <c r="AN19" t="b">
        <v>0</v>
      </c>
      <c r="AO19" t="e">
        <f>M.13_Values</f>
        <v>#VALUE!</v>
      </c>
      <c r="AP19" t="s">
        <v>126</v>
      </c>
      <c r="AQ19" t="b">
        <v>0</v>
      </c>
      <c r="AR19">
        <v>16316664</v>
      </c>
      <c r="AS19">
        <v>0</v>
      </c>
      <c r="AT19" t="s">
        <v>127</v>
      </c>
      <c r="AU19" t="b">
        <v>0</v>
      </c>
      <c r="AV19">
        <v>13434624</v>
      </c>
      <c r="AW19">
        <v>16750848</v>
      </c>
      <c r="AX19" t="s">
        <v>127</v>
      </c>
      <c r="AY19">
        <v>0</v>
      </c>
      <c r="AZ19">
        <v>0.5</v>
      </c>
      <c r="BA19" t="s">
        <v>128</v>
      </c>
      <c r="BB19">
        <v>0.9</v>
      </c>
      <c r="BC19" t="b">
        <v>0</v>
      </c>
      <c r="BD19" t="b">
        <v>1</v>
      </c>
      <c r="BE19" t="b">
        <v>1</v>
      </c>
      <c r="BF19" t="b">
        <v>1</v>
      </c>
      <c r="BG19" t="b">
        <v>0</v>
      </c>
      <c r="BH19" t="b">
        <v>0</v>
      </c>
      <c r="BI19" t="b">
        <v>1</v>
      </c>
      <c r="BJ19" t="s">
        <v>129</v>
      </c>
      <c r="BK19" t="b">
        <v>1</v>
      </c>
      <c r="BL19" t="b">
        <v>0</v>
      </c>
    </row>
    <row r="20" spans="1:64" x14ac:dyDescent="0.2">
      <c r="A20" s="31" t="str">
        <f>Data!$C$194</f>
        <v>1.2</v>
      </c>
      <c r="B20" s="31">
        <f>Data!$B$194</f>
        <v>1.1812025969601181</v>
      </c>
      <c r="C20">
        <v>255</v>
      </c>
      <c r="D20" t="s">
        <v>119</v>
      </c>
      <c r="E20">
        <v>3</v>
      </c>
      <c r="F20" t="s">
        <v>130</v>
      </c>
      <c r="G20" s="31">
        <f>Data!$B$168</f>
        <v>0.16666666666666666</v>
      </c>
      <c r="H20" s="31">
        <f>Data!$B$167</f>
        <v>8.9583333333333321</v>
      </c>
      <c r="I20">
        <v>16777215</v>
      </c>
      <c r="J20">
        <v>-1</v>
      </c>
      <c r="K20" s="37">
        <f>Data!$D$122</f>
        <v>1.7361111111111112E-4</v>
      </c>
      <c r="L20" t="s">
        <v>134</v>
      </c>
      <c r="M20">
        <v>10</v>
      </c>
      <c r="N20" t="s">
        <v>122</v>
      </c>
      <c r="O20">
        <v>-1</v>
      </c>
      <c r="P20">
        <v>3</v>
      </c>
      <c r="Q20">
        <v>-2147483633</v>
      </c>
      <c r="R20" t="s">
        <v>155</v>
      </c>
      <c r="S20" s="31"/>
      <c r="T20">
        <v>0</v>
      </c>
      <c r="U20">
        <v>0</v>
      </c>
      <c r="V20">
        <v>0</v>
      </c>
      <c r="W20" t="e">
        <f>M.26B_Limits</f>
        <v>#VALUE!</v>
      </c>
      <c r="X20" t="s">
        <v>155</v>
      </c>
      <c r="Z20">
        <v>0</v>
      </c>
      <c r="AA20">
        <v>0</v>
      </c>
      <c r="AB20">
        <v>0</v>
      </c>
      <c r="AC20">
        <v>0</v>
      </c>
      <c r="AD20">
        <v>0</v>
      </c>
      <c r="AE20">
        <v>0</v>
      </c>
      <c r="AF20">
        <v>0</v>
      </c>
      <c r="AG20">
        <v>0</v>
      </c>
      <c r="AH20" t="s">
        <v>124</v>
      </c>
      <c r="AI20">
        <v>0</v>
      </c>
      <c r="AJ20">
        <v>11</v>
      </c>
      <c r="AK20" t="b">
        <v>0</v>
      </c>
      <c r="AL20" t="s">
        <v>125</v>
      </c>
      <c r="AM20" t="b">
        <v>0</v>
      </c>
      <c r="AN20" t="b">
        <v>0</v>
      </c>
      <c r="AO20" t="e">
        <f>M.26B_Values</f>
        <v>#VALUE!</v>
      </c>
      <c r="AP20" t="s">
        <v>126</v>
      </c>
      <c r="AQ20" t="b">
        <v>0</v>
      </c>
      <c r="AR20">
        <v>16316664</v>
      </c>
      <c r="AS20">
        <v>0</v>
      </c>
      <c r="AT20" t="s">
        <v>127</v>
      </c>
      <c r="AU20" t="b">
        <v>0</v>
      </c>
      <c r="AV20">
        <v>13434624</v>
      </c>
      <c r="AW20">
        <v>16750848</v>
      </c>
      <c r="AX20" t="s">
        <v>127</v>
      </c>
      <c r="AY20">
        <v>0</v>
      </c>
      <c r="AZ20">
        <v>0.5</v>
      </c>
      <c r="BA20" t="s">
        <v>128</v>
      </c>
      <c r="BB20">
        <v>0.9</v>
      </c>
      <c r="BC20" t="b">
        <v>0</v>
      </c>
      <c r="BD20" t="b">
        <v>1</v>
      </c>
      <c r="BE20" t="b">
        <v>1</v>
      </c>
      <c r="BF20" t="b">
        <v>1</v>
      </c>
      <c r="BG20" t="b">
        <v>0</v>
      </c>
      <c r="BH20" t="b">
        <v>0</v>
      </c>
      <c r="BI20" t="b">
        <v>1</v>
      </c>
      <c r="BJ20" t="s">
        <v>129</v>
      </c>
      <c r="BK20" t="b">
        <v>1</v>
      </c>
      <c r="BL20" t="b">
        <v>0</v>
      </c>
    </row>
    <row r="21" spans="1:64" x14ac:dyDescent="0.2">
      <c r="A21" s="13" t="str">
        <f>Data!$C$223</f>
        <v>36%</v>
      </c>
      <c r="B21" s="30">
        <f>Data!$B$223</f>
        <v>0.35839160839160833</v>
      </c>
      <c r="C21">
        <v>6684672</v>
      </c>
      <c r="D21" t="s">
        <v>119</v>
      </c>
      <c r="E21">
        <v>3</v>
      </c>
      <c r="F21" t="s">
        <v>133</v>
      </c>
      <c r="G21" s="31">
        <f>Data!$B$167</f>
        <v>8.9583333333333321</v>
      </c>
      <c r="H21" s="31">
        <f>Data!$B$165</f>
        <v>23.333333333333332</v>
      </c>
      <c r="I21">
        <v>13395456</v>
      </c>
      <c r="J21">
        <v>-1</v>
      </c>
      <c r="K21">
        <v>0.5</v>
      </c>
      <c r="L21" t="s">
        <v>138</v>
      </c>
      <c r="M21">
        <v>1</v>
      </c>
      <c r="N21" t="s">
        <v>131</v>
      </c>
      <c r="O21">
        <v>-1</v>
      </c>
      <c r="P21">
        <v>3</v>
      </c>
      <c r="Q21">
        <v>-2147483633</v>
      </c>
      <c r="R21" t="s">
        <v>156</v>
      </c>
      <c r="S21" s="31"/>
      <c r="T21">
        <v>0</v>
      </c>
      <c r="U21">
        <v>0</v>
      </c>
      <c r="V21">
        <v>0</v>
      </c>
      <c r="W21" t="e">
        <f>M.26C_Limits</f>
        <v>#VALUE!</v>
      </c>
      <c r="X21" t="s">
        <v>156</v>
      </c>
      <c r="Z21">
        <v>0</v>
      </c>
      <c r="AA21">
        <v>0</v>
      </c>
      <c r="AB21">
        <v>0</v>
      </c>
      <c r="AC21">
        <v>0</v>
      </c>
      <c r="AD21">
        <v>0</v>
      </c>
      <c r="AE21">
        <v>0</v>
      </c>
      <c r="AF21">
        <v>0</v>
      </c>
      <c r="AG21">
        <v>0</v>
      </c>
      <c r="AH21" t="s">
        <v>124</v>
      </c>
      <c r="AI21">
        <v>0</v>
      </c>
      <c r="AJ21">
        <v>11</v>
      </c>
      <c r="AK21" t="b">
        <v>0</v>
      </c>
      <c r="AL21" t="s">
        <v>125</v>
      </c>
      <c r="AM21" t="b">
        <v>0</v>
      </c>
      <c r="AN21" t="b">
        <v>0</v>
      </c>
      <c r="AO21" t="e">
        <f>M.26C_Values</f>
        <v>#VALUE!</v>
      </c>
      <c r="AP21" t="s">
        <v>126</v>
      </c>
      <c r="AQ21" t="b">
        <v>0</v>
      </c>
      <c r="AR21">
        <v>16316664</v>
      </c>
      <c r="AS21">
        <v>0</v>
      </c>
      <c r="AT21" t="s">
        <v>127</v>
      </c>
      <c r="AU21" t="b">
        <v>0</v>
      </c>
      <c r="AV21">
        <v>13434624</v>
      </c>
      <c r="AW21">
        <v>16750848</v>
      </c>
      <c r="AX21" t="s">
        <v>127</v>
      </c>
      <c r="AY21">
        <v>0</v>
      </c>
      <c r="AZ21">
        <v>0.5</v>
      </c>
      <c r="BA21" t="s">
        <v>128</v>
      </c>
      <c r="BB21">
        <v>0.9</v>
      </c>
      <c r="BC21" t="b">
        <v>0</v>
      </c>
      <c r="BD21" t="b">
        <v>1</v>
      </c>
      <c r="BE21" t="b">
        <v>1</v>
      </c>
      <c r="BF21" t="b">
        <v>1</v>
      </c>
      <c r="BG21" t="b">
        <v>0</v>
      </c>
      <c r="BH21" t="b">
        <v>0</v>
      </c>
      <c r="BI21" t="b">
        <v>1</v>
      </c>
      <c r="BJ21" t="s">
        <v>129</v>
      </c>
      <c r="BK21" t="b">
        <v>1</v>
      </c>
      <c r="BL21" t="b">
        <v>0</v>
      </c>
    </row>
    <row r="22" spans="1:64" x14ac:dyDescent="0.2">
      <c r="A22" s="13" t="str">
        <f>Data!$C$224</f>
        <v>49%</v>
      </c>
      <c r="B22" s="30">
        <f>Data!$B$224</f>
        <v>0.4878464638124827</v>
      </c>
      <c r="C22">
        <v>255</v>
      </c>
      <c r="D22" t="s">
        <v>119</v>
      </c>
      <c r="E22">
        <v>3</v>
      </c>
      <c r="F22" t="s">
        <v>120</v>
      </c>
      <c r="G22" s="31">
        <f>Data!$B$176</f>
        <v>0</v>
      </c>
      <c r="H22" s="31">
        <f>Data!$B$178</f>
        <v>194.82627990042212</v>
      </c>
      <c r="I22">
        <v>13395456</v>
      </c>
      <c r="J22">
        <v>-1</v>
      </c>
      <c r="K22">
        <v>2</v>
      </c>
      <c r="L22" t="s">
        <v>146</v>
      </c>
      <c r="M22">
        <v>2</v>
      </c>
      <c r="N22" t="s">
        <v>131</v>
      </c>
      <c r="O22">
        <v>-1</v>
      </c>
      <c r="P22">
        <v>3</v>
      </c>
      <c r="Q22">
        <v>-2147483633</v>
      </c>
      <c r="R22" t="s">
        <v>157</v>
      </c>
      <c r="S22" s="31"/>
      <c r="T22">
        <v>0</v>
      </c>
      <c r="U22">
        <v>0</v>
      </c>
      <c r="V22">
        <v>0</v>
      </c>
      <c r="W22" t="e">
        <f>DAA_Limits</f>
        <v>#VALUE!</v>
      </c>
      <c r="X22" t="s">
        <v>157</v>
      </c>
      <c r="Z22">
        <v>0</v>
      </c>
      <c r="AA22">
        <v>0</v>
      </c>
      <c r="AB22">
        <v>0</v>
      </c>
      <c r="AC22">
        <v>0</v>
      </c>
      <c r="AD22">
        <v>0</v>
      </c>
      <c r="AE22">
        <v>0</v>
      </c>
      <c r="AF22">
        <v>0</v>
      </c>
      <c r="AG22">
        <v>0</v>
      </c>
      <c r="AH22" t="s">
        <v>124</v>
      </c>
      <c r="AI22">
        <v>0</v>
      </c>
      <c r="AJ22">
        <v>11</v>
      </c>
      <c r="AK22" t="b">
        <v>0</v>
      </c>
      <c r="AL22" t="s">
        <v>125</v>
      </c>
      <c r="AM22" t="b">
        <v>0</v>
      </c>
      <c r="AN22" t="b">
        <v>0</v>
      </c>
      <c r="AO22" t="e">
        <f>DAA_Values</f>
        <v>#VALUE!</v>
      </c>
      <c r="AP22" t="s">
        <v>126</v>
      </c>
      <c r="AQ22" t="b">
        <v>0</v>
      </c>
      <c r="AR22">
        <v>16316664</v>
      </c>
      <c r="AS22">
        <v>0</v>
      </c>
      <c r="AT22" t="s">
        <v>127</v>
      </c>
      <c r="AU22" t="b">
        <v>0</v>
      </c>
      <c r="AV22">
        <v>13434624</v>
      </c>
      <c r="AW22">
        <v>16750848</v>
      </c>
      <c r="AX22" t="s">
        <v>127</v>
      </c>
      <c r="AY22">
        <v>0</v>
      </c>
      <c r="AZ22">
        <v>0.5</v>
      </c>
      <c r="BA22" t="s">
        <v>128</v>
      </c>
      <c r="BB22">
        <v>0.9</v>
      </c>
      <c r="BC22" t="b">
        <v>0</v>
      </c>
      <c r="BD22" t="b">
        <v>1</v>
      </c>
      <c r="BE22" t="b">
        <v>1</v>
      </c>
      <c r="BF22" t="b">
        <v>1</v>
      </c>
      <c r="BG22" t="b">
        <v>0</v>
      </c>
      <c r="BH22" t="b">
        <v>0</v>
      </c>
      <c r="BI22" t="b">
        <v>1</v>
      </c>
      <c r="BJ22" t="s">
        <v>129</v>
      </c>
      <c r="BK22" t="b">
        <v>1</v>
      </c>
      <c r="BL22" t="b">
        <v>0</v>
      </c>
    </row>
    <row r="23" spans="1:64" x14ac:dyDescent="0.2">
      <c r="A23" s="31" t="str">
        <f>Data!$C$233</f>
        <v>11.6</v>
      </c>
      <c r="B23" s="31">
        <f>Data!$B$233</f>
        <v>11.620269375975051</v>
      </c>
      <c r="C23">
        <v>6684672</v>
      </c>
      <c r="D23" t="s">
        <v>119</v>
      </c>
      <c r="E23">
        <v>3</v>
      </c>
      <c r="F23" t="s">
        <v>130</v>
      </c>
      <c r="G23" s="31">
        <f>Data!$B$178</f>
        <v>194.82627990042212</v>
      </c>
      <c r="H23" s="31">
        <f>Data!$B$177</f>
        <v>3049.1221945595353</v>
      </c>
      <c r="I23">
        <v>16777215</v>
      </c>
      <c r="J23">
        <v>-1</v>
      </c>
      <c r="K23">
        <v>200</v>
      </c>
      <c r="L23" t="s">
        <v>138</v>
      </c>
      <c r="M23">
        <v>0</v>
      </c>
      <c r="N23" t="s">
        <v>131</v>
      </c>
      <c r="O23">
        <v>-1</v>
      </c>
      <c r="P23">
        <v>3</v>
      </c>
      <c r="Q23">
        <v>-2147483633</v>
      </c>
      <c r="R23" t="s">
        <v>158</v>
      </c>
      <c r="T23">
        <v>0</v>
      </c>
      <c r="U23">
        <v>0</v>
      </c>
      <c r="V23">
        <v>0</v>
      </c>
      <c r="W23" t="e">
        <f>M.19A_Limits</f>
        <v>#VALUE!</v>
      </c>
      <c r="X23" t="s">
        <v>158</v>
      </c>
      <c r="Z23">
        <v>0</v>
      </c>
      <c r="AA23">
        <v>0</v>
      </c>
      <c r="AB23">
        <v>0</v>
      </c>
      <c r="AC23">
        <v>0</v>
      </c>
      <c r="AD23">
        <v>0</v>
      </c>
      <c r="AE23">
        <v>0</v>
      </c>
      <c r="AF23">
        <v>0</v>
      </c>
      <c r="AG23">
        <v>0</v>
      </c>
      <c r="AH23" t="s">
        <v>124</v>
      </c>
      <c r="AI23">
        <v>0</v>
      </c>
      <c r="AJ23">
        <v>11</v>
      </c>
      <c r="AK23" t="b">
        <v>0</v>
      </c>
      <c r="AL23" t="s">
        <v>125</v>
      </c>
      <c r="AM23" t="b">
        <v>0</v>
      </c>
      <c r="AN23" t="b">
        <v>0</v>
      </c>
      <c r="AO23" t="e">
        <f>M.19A_Values</f>
        <v>#VALUE!</v>
      </c>
      <c r="AP23" t="s">
        <v>126</v>
      </c>
      <c r="AQ23" t="b">
        <v>0</v>
      </c>
      <c r="AR23">
        <v>16316664</v>
      </c>
      <c r="AS23">
        <v>0</v>
      </c>
      <c r="AT23" t="s">
        <v>127</v>
      </c>
      <c r="AU23" t="b">
        <v>0</v>
      </c>
      <c r="AV23">
        <v>13434624</v>
      </c>
      <c r="AW23">
        <v>16750848</v>
      </c>
      <c r="AX23" t="s">
        <v>127</v>
      </c>
      <c r="AY23">
        <v>0</v>
      </c>
      <c r="AZ23">
        <v>0.5</v>
      </c>
      <c r="BA23" t="s">
        <v>128</v>
      </c>
      <c r="BB23">
        <v>0.9</v>
      </c>
      <c r="BC23" t="b">
        <v>0</v>
      </c>
      <c r="BD23" t="b">
        <v>1</v>
      </c>
      <c r="BE23" t="b">
        <v>1</v>
      </c>
      <c r="BF23" t="b">
        <v>1</v>
      </c>
      <c r="BG23" t="b">
        <v>0</v>
      </c>
      <c r="BH23" t="b">
        <v>0</v>
      </c>
      <c r="BI23" t="b">
        <v>1</v>
      </c>
      <c r="BJ23" t="s">
        <v>129</v>
      </c>
      <c r="BK23" t="b">
        <v>1</v>
      </c>
      <c r="BL23" t="b">
        <v>0</v>
      </c>
    </row>
    <row r="24" spans="1:64" x14ac:dyDescent="0.2">
      <c r="A24" s="31" t="str">
        <f>Data!$C$234</f>
        <v>7.8</v>
      </c>
      <c r="B24" s="31">
        <f>Data!$B$234</f>
        <v>7.7585298675807293</v>
      </c>
      <c r="C24">
        <v>255</v>
      </c>
      <c r="D24" t="s">
        <v>119</v>
      </c>
      <c r="E24">
        <v>3</v>
      </c>
      <c r="F24" t="s">
        <v>133</v>
      </c>
      <c r="G24" s="31">
        <f>Data!$B$177</f>
        <v>3049.1221945595353</v>
      </c>
      <c r="H24" s="31">
        <f>Data!$B$175</f>
        <v>9993.1702471128774</v>
      </c>
      <c r="I24">
        <v>13395456</v>
      </c>
      <c r="J24">
        <v>-1</v>
      </c>
      <c r="K24" s="37">
        <f>Data!$D$332</f>
        <v>1.3888888888888889E-3</v>
      </c>
      <c r="L24" t="s">
        <v>134</v>
      </c>
      <c r="M24">
        <v>10</v>
      </c>
      <c r="N24" t="s">
        <v>122</v>
      </c>
      <c r="O24">
        <v>-1</v>
      </c>
      <c r="P24">
        <v>3</v>
      </c>
      <c r="Q24">
        <v>-2147483633</v>
      </c>
      <c r="R24" t="s">
        <v>114</v>
      </c>
      <c r="S24">
        <f>Data!$B$374</f>
        <v>5.7870370370370373E-5</v>
      </c>
      <c r="T24">
        <v>0</v>
      </c>
      <c r="U24">
        <v>0</v>
      </c>
      <c r="V24">
        <v>0</v>
      </c>
      <c r="W24" t="e">
        <f>M.34_Limits</f>
        <v>#VALUE!</v>
      </c>
      <c r="X24" t="s">
        <v>114</v>
      </c>
      <c r="Z24">
        <v>0</v>
      </c>
      <c r="AA24">
        <v>0</v>
      </c>
      <c r="AB24">
        <v>0</v>
      </c>
      <c r="AC24">
        <v>0</v>
      </c>
      <c r="AD24">
        <v>0</v>
      </c>
      <c r="AE24">
        <v>0</v>
      </c>
      <c r="AF24">
        <v>0</v>
      </c>
      <c r="AG24">
        <v>0</v>
      </c>
      <c r="AH24" t="s">
        <v>124</v>
      </c>
      <c r="AI24">
        <v>0</v>
      </c>
      <c r="AJ24">
        <v>11</v>
      </c>
      <c r="AK24" t="b">
        <v>0</v>
      </c>
      <c r="AL24" t="s">
        <v>125</v>
      </c>
      <c r="AM24" t="b">
        <v>0</v>
      </c>
      <c r="AN24" t="b">
        <v>0</v>
      </c>
      <c r="AO24" t="e">
        <f>M.34_Values</f>
        <v>#VALUE!</v>
      </c>
      <c r="AP24" t="s">
        <v>126</v>
      </c>
      <c r="AQ24" t="b">
        <v>0</v>
      </c>
      <c r="AR24">
        <v>16316664</v>
      </c>
      <c r="AS24">
        <v>0</v>
      </c>
      <c r="AT24" t="s">
        <v>127</v>
      </c>
      <c r="AU24" t="b">
        <v>0</v>
      </c>
      <c r="AV24">
        <v>13434624</v>
      </c>
      <c r="AW24">
        <v>16750848</v>
      </c>
      <c r="AX24" t="s">
        <v>127</v>
      </c>
      <c r="AY24">
        <v>0</v>
      </c>
      <c r="AZ24">
        <v>0.5</v>
      </c>
      <c r="BA24" t="s">
        <v>128</v>
      </c>
      <c r="BB24">
        <v>0.9</v>
      </c>
      <c r="BC24" t="b">
        <v>0</v>
      </c>
      <c r="BD24" t="b">
        <v>1</v>
      </c>
      <c r="BE24" t="b">
        <v>1</v>
      </c>
      <c r="BF24" t="b">
        <v>1</v>
      </c>
      <c r="BG24" t="b">
        <v>0</v>
      </c>
      <c r="BH24" t="b">
        <v>0</v>
      </c>
      <c r="BI24" t="b">
        <v>1</v>
      </c>
      <c r="BJ24" t="s">
        <v>129</v>
      </c>
      <c r="BK24" t="b">
        <v>1</v>
      </c>
      <c r="BL24" t="b">
        <v>0</v>
      </c>
    </row>
    <row r="25" spans="1:64" x14ac:dyDescent="0.2">
      <c r="A25" s="31" t="str">
        <f>Data!$C$253</f>
        <v>$17.28</v>
      </c>
      <c r="B25" s="32">
        <f>Data!$B$253</f>
        <v>17.28</v>
      </c>
      <c r="C25">
        <v>6684672</v>
      </c>
      <c r="D25" t="s">
        <v>119</v>
      </c>
      <c r="E25">
        <v>3</v>
      </c>
      <c r="F25" t="s">
        <v>120</v>
      </c>
      <c r="G25" s="31">
        <f>Data!$B$196</f>
        <v>0</v>
      </c>
      <c r="H25" s="31">
        <f>Data!$B$198</f>
        <v>0.81606765327695563</v>
      </c>
      <c r="I25">
        <v>13395456</v>
      </c>
      <c r="J25">
        <v>-1</v>
      </c>
      <c r="K25" s="37">
        <f>Data!$D$372</f>
        <v>1.7361111111111112E-4</v>
      </c>
      <c r="L25" t="s">
        <v>134</v>
      </c>
      <c r="M25">
        <v>10</v>
      </c>
      <c r="N25" t="s">
        <v>122</v>
      </c>
      <c r="O25">
        <v>-1</v>
      </c>
      <c r="P25">
        <v>3</v>
      </c>
      <c r="Q25">
        <v>-2147483633</v>
      </c>
      <c r="R25" t="s">
        <v>115</v>
      </c>
      <c r="S25">
        <f>Data!$B$384</f>
        <v>0</v>
      </c>
      <c r="T25">
        <v>0</v>
      </c>
      <c r="U25">
        <v>0</v>
      </c>
      <c r="V25">
        <v>0</v>
      </c>
      <c r="W25" t="e">
        <f>M.35_Limits</f>
        <v>#VALUE!</v>
      </c>
      <c r="X25" t="s">
        <v>115</v>
      </c>
      <c r="Z25">
        <v>0</v>
      </c>
      <c r="AA25">
        <v>0</v>
      </c>
      <c r="AB25">
        <v>0</v>
      </c>
      <c r="AC25">
        <v>0</v>
      </c>
      <c r="AD25">
        <v>0</v>
      </c>
      <c r="AE25">
        <v>0</v>
      </c>
      <c r="AF25">
        <v>0</v>
      </c>
      <c r="AG25">
        <v>0</v>
      </c>
      <c r="AH25" t="s">
        <v>124</v>
      </c>
      <c r="AI25">
        <v>0</v>
      </c>
      <c r="AJ25">
        <v>11</v>
      </c>
      <c r="AK25" t="b">
        <v>0</v>
      </c>
      <c r="AL25" t="s">
        <v>125</v>
      </c>
      <c r="AM25" t="b">
        <v>0</v>
      </c>
      <c r="AN25" t="b">
        <v>0</v>
      </c>
      <c r="AO25" t="e">
        <f>M.35_Values</f>
        <v>#VALUE!</v>
      </c>
      <c r="AP25" t="s">
        <v>126</v>
      </c>
      <c r="AQ25" t="b">
        <v>0</v>
      </c>
      <c r="AR25">
        <v>16316664</v>
      </c>
      <c r="AS25">
        <v>0</v>
      </c>
      <c r="AT25" t="s">
        <v>127</v>
      </c>
      <c r="AU25" t="b">
        <v>0</v>
      </c>
      <c r="AV25">
        <v>13434624</v>
      </c>
      <c r="AW25">
        <v>16750848</v>
      </c>
      <c r="AX25" t="s">
        <v>127</v>
      </c>
      <c r="AY25">
        <v>0</v>
      </c>
      <c r="AZ25">
        <v>0.5</v>
      </c>
      <c r="BA25" t="s">
        <v>128</v>
      </c>
      <c r="BB25">
        <v>0.9</v>
      </c>
      <c r="BC25" t="b">
        <v>0</v>
      </c>
      <c r="BD25" t="b">
        <v>1</v>
      </c>
      <c r="BE25" t="b">
        <v>1</v>
      </c>
      <c r="BF25" t="b">
        <v>1</v>
      </c>
      <c r="BG25" t="b">
        <v>0</v>
      </c>
      <c r="BH25" t="b">
        <v>0</v>
      </c>
      <c r="BI25" t="b">
        <v>1</v>
      </c>
      <c r="BJ25" t="s">
        <v>129</v>
      </c>
      <c r="BK25" t="b">
        <v>1</v>
      </c>
      <c r="BL25" t="b">
        <v>0</v>
      </c>
    </row>
    <row r="26" spans="1:64" x14ac:dyDescent="0.2">
      <c r="A26" s="31" t="str">
        <f>Data!$C$254</f>
        <v>$22.45</v>
      </c>
      <c r="B26" s="32">
        <f>Data!$B$254</f>
        <v>22.45</v>
      </c>
      <c r="C26">
        <v>255</v>
      </c>
      <c r="D26" t="s">
        <v>119</v>
      </c>
      <c r="E26">
        <v>3</v>
      </c>
      <c r="F26" t="s">
        <v>130</v>
      </c>
      <c r="G26" s="31">
        <f>Data!$B$198</f>
        <v>0.81606765327695563</v>
      </c>
      <c r="H26" s="31">
        <f>Data!$B$197</f>
        <v>1.5847701149425286</v>
      </c>
      <c r="I26">
        <v>16777215</v>
      </c>
      <c r="J26">
        <v>-1</v>
      </c>
      <c r="K26" s="37">
        <f>Data!$D$382</f>
        <v>1.7361111111111112E-4</v>
      </c>
      <c r="L26" t="s">
        <v>134</v>
      </c>
      <c r="M26">
        <v>10</v>
      </c>
      <c r="N26" t="s">
        <v>122</v>
      </c>
      <c r="O26">
        <v>-1</v>
      </c>
      <c r="P26">
        <v>3</v>
      </c>
      <c r="Q26">
        <v>-2147483633</v>
      </c>
      <c r="R26" t="s">
        <v>116</v>
      </c>
      <c r="S26" s="30"/>
      <c r="T26">
        <v>0</v>
      </c>
      <c r="U26">
        <v>0</v>
      </c>
      <c r="V26">
        <v>0</v>
      </c>
      <c r="W26" t="e">
        <f>M.36_Limits</f>
        <v>#VALUE!</v>
      </c>
      <c r="X26" t="s">
        <v>116</v>
      </c>
      <c r="Z26">
        <v>0</v>
      </c>
      <c r="AA26">
        <v>0</v>
      </c>
      <c r="AB26">
        <v>0</v>
      </c>
      <c r="AC26">
        <v>0</v>
      </c>
      <c r="AD26">
        <v>0</v>
      </c>
      <c r="AE26">
        <v>0</v>
      </c>
      <c r="AF26">
        <v>0</v>
      </c>
      <c r="AG26">
        <v>0</v>
      </c>
      <c r="AH26" t="s">
        <v>124</v>
      </c>
      <c r="AI26">
        <v>0</v>
      </c>
      <c r="AJ26">
        <v>11</v>
      </c>
      <c r="AK26" t="b">
        <v>0</v>
      </c>
      <c r="AL26" t="s">
        <v>125</v>
      </c>
      <c r="AM26" t="b">
        <v>0</v>
      </c>
      <c r="AN26" t="b">
        <v>0</v>
      </c>
      <c r="AO26" t="e">
        <f>M.36_Values</f>
        <v>#VALUE!</v>
      </c>
      <c r="AP26" t="s">
        <v>126</v>
      </c>
      <c r="AQ26" t="b">
        <v>0</v>
      </c>
      <c r="AR26">
        <v>16316664</v>
      </c>
      <c r="AS26">
        <v>0</v>
      </c>
      <c r="AT26" t="s">
        <v>127</v>
      </c>
      <c r="AU26" t="b">
        <v>0</v>
      </c>
      <c r="AV26">
        <v>13434624</v>
      </c>
      <c r="AW26">
        <v>16750848</v>
      </c>
      <c r="AX26" t="s">
        <v>127</v>
      </c>
      <c r="AY26">
        <v>0</v>
      </c>
      <c r="AZ26">
        <v>0.5</v>
      </c>
      <c r="BA26" t="s">
        <v>128</v>
      </c>
      <c r="BB26">
        <v>0.9</v>
      </c>
      <c r="BC26" t="b">
        <v>0</v>
      </c>
      <c r="BD26" t="b">
        <v>1</v>
      </c>
      <c r="BE26" t="b">
        <v>1</v>
      </c>
      <c r="BF26" t="b">
        <v>1</v>
      </c>
      <c r="BG26" t="b">
        <v>0</v>
      </c>
      <c r="BH26" t="b">
        <v>0</v>
      </c>
      <c r="BI26" t="b">
        <v>1</v>
      </c>
      <c r="BJ26" t="s">
        <v>129</v>
      </c>
      <c r="BK26" t="b">
        <v>1</v>
      </c>
      <c r="BL26" t="b">
        <v>0</v>
      </c>
    </row>
    <row r="27" spans="1:64" x14ac:dyDescent="0.2">
      <c r="A27" s="13" t="str">
        <f>Data!$C$263</f>
        <v>3.2%</v>
      </c>
      <c r="B27" s="30">
        <f>Data!$B$263</f>
        <v>3.2112612321417044E-2</v>
      </c>
      <c r="C27">
        <v>6684672</v>
      </c>
      <c r="D27" t="s">
        <v>119</v>
      </c>
      <c r="E27">
        <v>3</v>
      </c>
      <c r="F27" t="s">
        <v>133</v>
      </c>
      <c r="G27" s="31">
        <f>Data!$B$197</f>
        <v>1.5847701149425286</v>
      </c>
      <c r="H27" s="31">
        <f>Data!$B$195</f>
        <v>2.48</v>
      </c>
      <c r="I27">
        <v>13395456</v>
      </c>
      <c r="J27">
        <v>-1</v>
      </c>
      <c r="K27">
        <v>0.1</v>
      </c>
      <c r="L27" t="s">
        <v>121</v>
      </c>
      <c r="M27">
        <v>1</v>
      </c>
      <c r="N27" t="s">
        <v>131</v>
      </c>
      <c r="O27">
        <v>-1</v>
      </c>
      <c r="P27">
        <v>3</v>
      </c>
      <c r="Q27">
        <v>-2147483633</v>
      </c>
      <c r="R27" t="s">
        <v>117</v>
      </c>
      <c r="S27" s="31"/>
      <c r="T27">
        <v>0</v>
      </c>
      <c r="U27">
        <v>0</v>
      </c>
      <c r="V27">
        <v>0</v>
      </c>
      <c r="W27" t="e">
        <f>M.37_Limits</f>
        <v>#VALUE!</v>
      </c>
      <c r="X27" t="s">
        <v>117</v>
      </c>
      <c r="Z27">
        <v>0</v>
      </c>
      <c r="AA27">
        <v>0</v>
      </c>
      <c r="AB27">
        <v>0</v>
      </c>
      <c r="AC27">
        <v>0</v>
      </c>
      <c r="AD27">
        <v>0</v>
      </c>
      <c r="AE27">
        <v>0</v>
      </c>
      <c r="AF27">
        <v>0</v>
      </c>
      <c r="AG27">
        <v>0</v>
      </c>
      <c r="AH27" t="s">
        <v>124</v>
      </c>
      <c r="AI27">
        <v>0</v>
      </c>
      <c r="AJ27">
        <v>11</v>
      </c>
      <c r="AK27" t="b">
        <v>0</v>
      </c>
      <c r="AL27" t="s">
        <v>125</v>
      </c>
      <c r="AM27" t="b">
        <v>0</v>
      </c>
      <c r="AN27" t="b">
        <v>0</v>
      </c>
      <c r="AO27" t="e">
        <f>M.37_Values</f>
        <v>#VALUE!</v>
      </c>
      <c r="AP27" t="s">
        <v>126</v>
      </c>
      <c r="AQ27" t="b">
        <v>0</v>
      </c>
      <c r="AR27">
        <v>16316664</v>
      </c>
      <c r="AS27">
        <v>0</v>
      </c>
      <c r="AT27" t="s">
        <v>127</v>
      </c>
      <c r="AU27" t="b">
        <v>0</v>
      </c>
      <c r="AV27">
        <v>13434624</v>
      </c>
      <c r="AW27">
        <v>16750848</v>
      </c>
      <c r="AX27" t="s">
        <v>127</v>
      </c>
      <c r="AY27">
        <v>0</v>
      </c>
      <c r="AZ27">
        <v>0.5</v>
      </c>
      <c r="BA27" t="s">
        <v>128</v>
      </c>
      <c r="BB27">
        <v>0.9</v>
      </c>
      <c r="BC27" t="b">
        <v>0</v>
      </c>
      <c r="BD27" t="b">
        <v>1</v>
      </c>
      <c r="BE27" t="b">
        <v>1</v>
      </c>
      <c r="BF27" t="b">
        <v>1</v>
      </c>
      <c r="BG27" t="b">
        <v>0</v>
      </c>
      <c r="BH27" t="b">
        <v>0</v>
      </c>
      <c r="BI27" t="b">
        <v>1</v>
      </c>
      <c r="BJ27" t="s">
        <v>129</v>
      </c>
      <c r="BK27" t="b">
        <v>1</v>
      </c>
      <c r="BL27" t="b">
        <v>0</v>
      </c>
    </row>
    <row r="28" spans="1:64" x14ac:dyDescent="0.2">
      <c r="A28" s="13" t="str">
        <f>Data!$C$264</f>
        <v>1.5%</v>
      </c>
      <c r="B28" s="30">
        <f>Data!$B$264</f>
        <v>1.5353085607801025E-2</v>
      </c>
      <c r="C28">
        <v>255</v>
      </c>
      <c r="D28" t="s">
        <v>119</v>
      </c>
      <c r="E28">
        <v>3</v>
      </c>
      <c r="F28" t="s">
        <v>120</v>
      </c>
      <c r="G28" s="30">
        <f>Data!$B$226</f>
        <v>3.7415780141843977E-2</v>
      </c>
      <c r="H28" s="30">
        <f>Data!$B$228</f>
        <v>0.33517279820234225</v>
      </c>
      <c r="I28">
        <v>13395456</v>
      </c>
      <c r="J28">
        <v>-1</v>
      </c>
      <c r="K28">
        <v>10</v>
      </c>
      <c r="L28" t="s">
        <v>138</v>
      </c>
      <c r="M28">
        <v>0</v>
      </c>
      <c r="N28" t="s">
        <v>131</v>
      </c>
      <c r="O28">
        <v>-1</v>
      </c>
      <c r="P28">
        <v>3</v>
      </c>
      <c r="Q28">
        <v>-2147483633</v>
      </c>
      <c r="R28" t="s">
        <v>159</v>
      </c>
      <c r="T28">
        <v>0</v>
      </c>
      <c r="U28">
        <v>0</v>
      </c>
      <c r="V28">
        <v>0</v>
      </c>
      <c r="W28" t="e">
        <f>M.37copy_Limits</f>
        <v>#VALUE!</v>
      </c>
      <c r="X28" t="s">
        <v>117</v>
      </c>
      <c r="Z28">
        <v>0</v>
      </c>
      <c r="AA28">
        <v>0</v>
      </c>
      <c r="AB28">
        <v>0</v>
      </c>
      <c r="AC28">
        <v>0</v>
      </c>
      <c r="AD28">
        <v>0</v>
      </c>
      <c r="AE28">
        <v>0</v>
      </c>
      <c r="AF28">
        <v>0</v>
      </c>
      <c r="AG28">
        <v>0</v>
      </c>
      <c r="AH28" t="s">
        <v>124</v>
      </c>
      <c r="AI28">
        <v>0</v>
      </c>
      <c r="AJ28">
        <v>11</v>
      </c>
      <c r="AK28" t="b">
        <v>0</v>
      </c>
      <c r="AL28" t="s">
        <v>125</v>
      </c>
      <c r="AM28" t="b">
        <v>0</v>
      </c>
      <c r="AN28" t="b">
        <v>0</v>
      </c>
      <c r="AO28" t="e">
        <f>M.37copy_Values</f>
        <v>#VALUE!</v>
      </c>
      <c r="AP28" t="s">
        <v>126</v>
      </c>
      <c r="AQ28" t="b">
        <v>0</v>
      </c>
      <c r="AR28">
        <v>16316664</v>
      </c>
      <c r="AS28">
        <v>0</v>
      </c>
      <c r="AT28" t="s">
        <v>127</v>
      </c>
      <c r="AU28" t="b">
        <v>0</v>
      </c>
      <c r="AV28">
        <v>13434624</v>
      </c>
      <c r="AW28">
        <v>16750848</v>
      </c>
      <c r="AX28" t="s">
        <v>127</v>
      </c>
      <c r="AY28">
        <v>0</v>
      </c>
      <c r="AZ28">
        <v>0.5</v>
      </c>
      <c r="BA28" t="s">
        <v>128</v>
      </c>
      <c r="BB28">
        <v>0.9</v>
      </c>
      <c r="BC28" t="b">
        <v>0</v>
      </c>
      <c r="BD28" t="b">
        <v>1</v>
      </c>
      <c r="BE28" t="b">
        <v>1</v>
      </c>
      <c r="BF28" t="b">
        <v>1</v>
      </c>
      <c r="BG28" t="b">
        <v>0</v>
      </c>
      <c r="BH28" t="b">
        <v>0</v>
      </c>
      <c r="BI28" t="b">
        <v>1</v>
      </c>
      <c r="BJ28" t="s">
        <v>129</v>
      </c>
      <c r="BK28" t="b">
        <v>1</v>
      </c>
      <c r="BL28" t="b">
        <v>0</v>
      </c>
    </row>
    <row r="29" spans="1:64" x14ac:dyDescent="0.2">
      <c r="A29" s="13" t="str">
        <f>Data!$C$273</f>
        <v>1.5%</v>
      </c>
      <c r="B29" s="30">
        <f>Data!$B$273</f>
        <v>1.4862835006719921E-2</v>
      </c>
      <c r="C29">
        <v>6684672</v>
      </c>
      <c r="D29" t="s">
        <v>119</v>
      </c>
      <c r="E29">
        <v>3</v>
      </c>
      <c r="F29" t="s">
        <v>130</v>
      </c>
      <c r="G29" s="30">
        <f>Data!$B$228</f>
        <v>0.33517279820234225</v>
      </c>
      <c r="H29" s="30">
        <f>Data!$B$227</f>
        <v>0.65585660058300577</v>
      </c>
      <c r="I29">
        <v>16777215</v>
      </c>
      <c r="J29">
        <v>-1</v>
      </c>
      <c r="K29">
        <v>10</v>
      </c>
      <c r="L29" t="s">
        <v>138</v>
      </c>
      <c r="M29">
        <v>0</v>
      </c>
      <c r="N29" t="s">
        <v>131</v>
      </c>
      <c r="O29">
        <v>-1</v>
      </c>
      <c r="P29">
        <v>3</v>
      </c>
      <c r="Q29">
        <v>-2147483633</v>
      </c>
      <c r="R29" t="s">
        <v>160</v>
      </c>
      <c r="S29" s="31"/>
      <c r="T29">
        <v>0</v>
      </c>
      <c r="U29">
        <v>0</v>
      </c>
      <c r="V29">
        <v>0</v>
      </c>
      <c r="W29" t="e">
        <f>M.15copy_Limits</f>
        <v>#VALUE!</v>
      </c>
      <c r="X29" t="s">
        <v>137</v>
      </c>
      <c r="Z29">
        <v>0</v>
      </c>
      <c r="AA29">
        <v>0</v>
      </c>
      <c r="AB29">
        <v>0</v>
      </c>
      <c r="AC29">
        <v>0</v>
      </c>
      <c r="AD29">
        <v>0</v>
      </c>
      <c r="AE29">
        <v>0</v>
      </c>
      <c r="AF29">
        <v>0</v>
      </c>
      <c r="AG29">
        <v>0</v>
      </c>
      <c r="AH29" t="s">
        <v>124</v>
      </c>
      <c r="AI29">
        <v>0</v>
      </c>
      <c r="AJ29">
        <v>11</v>
      </c>
      <c r="AK29" t="b">
        <v>0</v>
      </c>
      <c r="AL29" t="s">
        <v>125</v>
      </c>
      <c r="AM29" t="b">
        <v>0</v>
      </c>
      <c r="AN29" t="b">
        <v>0</v>
      </c>
      <c r="AO29" t="e">
        <f>M.15copy_Values</f>
        <v>#VALUE!</v>
      </c>
      <c r="AP29" t="s">
        <v>126</v>
      </c>
      <c r="AQ29" t="b">
        <v>0</v>
      </c>
      <c r="AR29">
        <v>16316664</v>
      </c>
      <c r="AS29">
        <v>0</v>
      </c>
      <c r="AT29" t="s">
        <v>127</v>
      </c>
      <c r="AU29" t="b">
        <v>0</v>
      </c>
      <c r="AV29">
        <v>13434624</v>
      </c>
      <c r="AW29">
        <v>16750848</v>
      </c>
      <c r="AX29" t="s">
        <v>127</v>
      </c>
      <c r="AY29">
        <v>0</v>
      </c>
      <c r="AZ29">
        <v>0.5</v>
      </c>
      <c r="BA29" t="s">
        <v>128</v>
      </c>
      <c r="BB29">
        <v>0.9</v>
      </c>
      <c r="BC29" t="b">
        <v>0</v>
      </c>
      <c r="BD29" t="b">
        <v>1</v>
      </c>
      <c r="BE29" t="b">
        <v>1</v>
      </c>
      <c r="BF29" t="b">
        <v>1</v>
      </c>
      <c r="BG29" t="b">
        <v>0</v>
      </c>
      <c r="BH29" t="b">
        <v>0</v>
      </c>
      <c r="BI29" t="b">
        <v>1</v>
      </c>
      <c r="BJ29" t="s">
        <v>129</v>
      </c>
      <c r="BK29" t="b">
        <v>1</v>
      </c>
      <c r="BL29" t="b">
        <v>0</v>
      </c>
    </row>
    <row r="30" spans="1:64" x14ac:dyDescent="0.2">
      <c r="A30" s="13" t="str">
        <f>Data!$C$274</f>
        <v>1.9%</v>
      </c>
      <c r="B30" s="30">
        <f>Data!$B$274</f>
        <v>1.87451348937577E-2</v>
      </c>
      <c r="C30">
        <v>255</v>
      </c>
      <c r="D30" t="s">
        <v>119</v>
      </c>
      <c r="E30">
        <v>3</v>
      </c>
      <c r="F30" t="s">
        <v>133</v>
      </c>
      <c r="G30" s="30">
        <f>Data!$B$227</f>
        <v>0.65585660058300577</v>
      </c>
      <c r="H30" s="30">
        <f>Data!$B$225</f>
        <v>0.91517491286828034</v>
      </c>
      <c r="I30">
        <v>13395456</v>
      </c>
      <c r="J30">
        <v>-1</v>
      </c>
      <c r="K30">
        <v>10</v>
      </c>
      <c r="L30" t="s">
        <v>138</v>
      </c>
      <c r="M30">
        <v>0</v>
      </c>
      <c r="N30" t="s">
        <v>131</v>
      </c>
      <c r="O30">
        <v>-1</v>
      </c>
      <c r="P30">
        <v>3</v>
      </c>
      <c r="Q30">
        <v>-2147483633</v>
      </c>
      <c r="R30" t="s">
        <v>161</v>
      </c>
      <c r="T30">
        <v>0</v>
      </c>
      <c r="U30">
        <v>0</v>
      </c>
      <c r="V30">
        <v>0</v>
      </c>
      <c r="W30" t="e">
        <f>M.16copy_Limits</f>
        <v>#VALUE!</v>
      </c>
      <c r="X30" t="s">
        <v>139</v>
      </c>
      <c r="Z30">
        <v>0</v>
      </c>
      <c r="AA30">
        <v>0</v>
      </c>
      <c r="AB30">
        <v>0</v>
      </c>
      <c r="AC30">
        <v>0</v>
      </c>
      <c r="AD30">
        <v>0</v>
      </c>
      <c r="AE30">
        <v>0</v>
      </c>
      <c r="AF30">
        <v>0</v>
      </c>
      <c r="AG30">
        <v>0</v>
      </c>
      <c r="AH30" t="s">
        <v>124</v>
      </c>
      <c r="AI30">
        <v>0</v>
      </c>
      <c r="AJ30">
        <v>11</v>
      </c>
      <c r="AK30" t="b">
        <v>0</v>
      </c>
      <c r="AL30" t="s">
        <v>125</v>
      </c>
      <c r="AM30" t="b">
        <v>0</v>
      </c>
      <c r="AN30" t="b">
        <v>0</v>
      </c>
      <c r="AO30" t="e">
        <f>M.16copy_Values</f>
        <v>#VALUE!</v>
      </c>
      <c r="AP30" t="s">
        <v>126</v>
      </c>
      <c r="AQ30" t="b">
        <v>0</v>
      </c>
      <c r="AR30">
        <v>16316664</v>
      </c>
      <c r="AS30">
        <v>0</v>
      </c>
      <c r="AT30" t="s">
        <v>127</v>
      </c>
      <c r="AU30" t="b">
        <v>0</v>
      </c>
      <c r="AV30">
        <v>13434624</v>
      </c>
      <c r="AW30">
        <v>16750848</v>
      </c>
      <c r="AX30" t="s">
        <v>127</v>
      </c>
      <c r="AY30">
        <v>0</v>
      </c>
      <c r="AZ30">
        <v>0.5</v>
      </c>
      <c r="BA30" t="s">
        <v>128</v>
      </c>
      <c r="BB30">
        <v>0.9</v>
      </c>
      <c r="BC30" t="b">
        <v>0</v>
      </c>
      <c r="BD30" t="b">
        <v>1</v>
      </c>
      <c r="BE30" t="b">
        <v>1</v>
      </c>
      <c r="BF30" t="b">
        <v>1</v>
      </c>
      <c r="BG30" t="b">
        <v>0</v>
      </c>
      <c r="BH30" t="b">
        <v>0</v>
      </c>
      <c r="BI30" t="b">
        <v>1</v>
      </c>
      <c r="BJ30" t="s">
        <v>129</v>
      </c>
      <c r="BK30" t="b">
        <v>1</v>
      </c>
      <c r="BL30" t="b">
        <v>0</v>
      </c>
    </row>
    <row r="31" spans="1:64" x14ac:dyDescent="0.2">
      <c r="A31" s="31" t="str">
        <f>Data!$C$283</f>
        <v>4.4</v>
      </c>
      <c r="B31" s="31">
        <f>Data!$B$283</f>
        <v>4.355087288597927</v>
      </c>
      <c r="C31">
        <v>6684672</v>
      </c>
      <c r="D31" t="s">
        <v>119</v>
      </c>
      <c r="E31">
        <v>3</v>
      </c>
      <c r="F31" t="s">
        <v>120</v>
      </c>
      <c r="G31" s="31">
        <f>Data!$B$236</f>
        <v>3.9078505711936384</v>
      </c>
      <c r="H31" s="31">
        <f>Data!$B$238</f>
        <v>5.733454629635407</v>
      </c>
      <c r="I31">
        <v>13395456</v>
      </c>
      <c r="J31">
        <v>-1</v>
      </c>
      <c r="K31">
        <v>10</v>
      </c>
      <c r="L31" t="s">
        <v>138</v>
      </c>
      <c r="M31">
        <v>0</v>
      </c>
      <c r="N31" t="s">
        <v>131</v>
      </c>
      <c r="O31">
        <v>-1</v>
      </c>
      <c r="P31">
        <v>3</v>
      </c>
      <c r="Q31">
        <v>-2147483633</v>
      </c>
    </row>
    <row r="32" spans="1:64" x14ac:dyDescent="0.2">
      <c r="A32" s="31" t="str">
        <f>Data!$C$284</f>
        <v>7.1</v>
      </c>
      <c r="B32" s="31">
        <f>Data!$B$284</f>
        <v>7.1136197518982307</v>
      </c>
      <c r="C32">
        <v>255</v>
      </c>
      <c r="D32" t="s">
        <v>119</v>
      </c>
      <c r="E32">
        <v>3</v>
      </c>
      <c r="F32" t="s">
        <v>130</v>
      </c>
      <c r="G32" s="31">
        <f>Data!$B$238</f>
        <v>5.733454629635407</v>
      </c>
      <c r="H32" s="31">
        <f>Data!$B$237</f>
        <v>9.8475283795405559</v>
      </c>
      <c r="I32">
        <v>16777215</v>
      </c>
    </row>
    <row r="33" spans="1:9" x14ac:dyDescent="0.2">
      <c r="A33" s="32" t="str">
        <f>Data!$C$293</f>
        <v>$6.98</v>
      </c>
      <c r="B33" s="32">
        <f>Data!$B$293</f>
        <v>6.98</v>
      </c>
      <c r="C33">
        <v>6684672</v>
      </c>
      <c r="D33" t="s">
        <v>119</v>
      </c>
      <c r="E33">
        <v>3</v>
      </c>
      <c r="F33" t="s">
        <v>133</v>
      </c>
      <c r="G33" s="31">
        <f>Data!$B$237</f>
        <v>9.8475283795405559</v>
      </c>
      <c r="H33" s="31">
        <f>Data!$B$235</f>
        <v>16.066295963664466</v>
      </c>
      <c r="I33">
        <v>13395456</v>
      </c>
    </row>
    <row r="34" spans="1:9" x14ac:dyDescent="0.2">
      <c r="A34" s="32" t="str">
        <f>Data!$C$294</f>
        <v>$5.11</v>
      </c>
      <c r="B34" s="32">
        <f>Data!$B$294</f>
        <v>5.1100000000000003</v>
      </c>
      <c r="C34">
        <v>255</v>
      </c>
      <c r="D34" t="s">
        <v>119</v>
      </c>
      <c r="E34">
        <v>3</v>
      </c>
      <c r="F34" t="s">
        <v>120</v>
      </c>
      <c r="G34" s="32">
        <f>Data!$B$256</f>
        <v>5.67</v>
      </c>
      <c r="H34" s="32">
        <f>Data!$B$258</f>
        <v>13.59</v>
      </c>
      <c r="I34">
        <v>13395456</v>
      </c>
    </row>
    <row r="35" spans="1:9" x14ac:dyDescent="0.2">
      <c r="A35" t="str">
        <f>Data!$C$53</f>
        <v>00:00:08</v>
      </c>
      <c r="B35">
        <f>Data!$B$53</f>
        <v>9.2485176749775263E-5</v>
      </c>
      <c r="C35">
        <v>6684672</v>
      </c>
      <c r="D35" t="s">
        <v>119</v>
      </c>
      <c r="E35">
        <v>3</v>
      </c>
      <c r="F35" t="s">
        <v>130</v>
      </c>
      <c r="G35" s="32">
        <f>Data!$B$258</f>
        <v>13.59</v>
      </c>
      <c r="H35" s="32">
        <f>Data!$B$257</f>
        <v>31.03</v>
      </c>
      <c r="I35">
        <v>16777215</v>
      </c>
    </row>
    <row r="36" spans="1:9" x14ac:dyDescent="0.2">
      <c r="A36" t="str">
        <f>Data!$C$54</f>
        <v>00:00:11</v>
      </c>
      <c r="B36">
        <f>Data!$B$54</f>
        <v>1.2948594073571319E-4</v>
      </c>
      <c r="C36">
        <v>255</v>
      </c>
      <c r="D36" t="s">
        <v>119</v>
      </c>
      <c r="E36">
        <v>3</v>
      </c>
      <c r="F36" t="s">
        <v>133</v>
      </c>
      <c r="G36" s="32">
        <f>Data!$B$257</f>
        <v>31.03</v>
      </c>
      <c r="H36" s="32">
        <f>Data!$B$255</f>
        <v>65.180000000000007</v>
      </c>
      <c r="I36">
        <v>13395456</v>
      </c>
    </row>
    <row r="37" spans="1:9" x14ac:dyDescent="0.2">
      <c r="A37" t="str">
        <f>Data!$C$113</f>
        <v>00:00:29</v>
      </c>
      <c r="B37">
        <f>Data!$B$113</f>
        <v>3.407921810699588E-4</v>
      </c>
      <c r="C37">
        <v>6684672</v>
      </c>
      <c r="D37" t="s">
        <v>119</v>
      </c>
      <c r="E37">
        <v>3</v>
      </c>
      <c r="F37" t="s">
        <v>120</v>
      </c>
      <c r="G37" s="30">
        <f>Data!$B$266</f>
        <v>-0.12902915331235143</v>
      </c>
      <c r="H37" s="30">
        <f>Data!$B$268</f>
        <v>-7.2890396740067254E-2</v>
      </c>
      <c r="I37">
        <v>13395456</v>
      </c>
    </row>
    <row r="38" spans="1:9" x14ac:dyDescent="0.2">
      <c r="A38" t="str">
        <f>Data!$C$114</f>
        <v>00:00:21</v>
      </c>
      <c r="B38">
        <f>Data!$B$114</f>
        <v>2.4340482760692563E-4</v>
      </c>
      <c r="C38">
        <v>255</v>
      </c>
      <c r="D38" t="s">
        <v>119</v>
      </c>
      <c r="E38">
        <v>3</v>
      </c>
      <c r="F38" t="s">
        <v>130</v>
      </c>
      <c r="G38" s="30">
        <f>Data!$B$268</f>
        <v>-7.2890396740067254E-2</v>
      </c>
      <c r="H38" s="30">
        <f>Data!$B$267</f>
        <v>4.247362813924771E-2</v>
      </c>
      <c r="I38">
        <v>16777215</v>
      </c>
    </row>
    <row r="39" spans="1:9" x14ac:dyDescent="0.2">
      <c r="A39" t="str">
        <f>Data!$C$123</f>
        <v>00:00:02</v>
      </c>
      <c r="B39">
        <f>Data!$B$123</f>
        <v>1.9290123456790123E-5</v>
      </c>
      <c r="C39">
        <v>6684672</v>
      </c>
      <c r="D39" t="s">
        <v>119</v>
      </c>
      <c r="E39">
        <v>3</v>
      </c>
      <c r="F39" t="s">
        <v>133</v>
      </c>
      <c r="G39" s="30">
        <f>Data!$B$267</f>
        <v>4.247362813924771E-2</v>
      </c>
      <c r="H39" s="30">
        <f>Data!$B$265</f>
        <v>0.4728480087365472</v>
      </c>
      <c r="I39">
        <v>13395456</v>
      </c>
    </row>
    <row r="40" spans="1:9" x14ac:dyDescent="0.2">
      <c r="A40" t="str">
        <f>Data!$C$124</f>
        <v>00:00:17</v>
      </c>
      <c r="B40">
        <f>Data!$B$124</f>
        <v>1.963142536711013E-4</v>
      </c>
      <c r="C40">
        <v>255</v>
      </c>
      <c r="D40" t="s">
        <v>119</v>
      </c>
      <c r="E40">
        <v>3</v>
      </c>
      <c r="F40" t="s">
        <v>120</v>
      </c>
      <c r="G40" s="30">
        <f>Data!$B$276</f>
        <v>-0.13482176185143713</v>
      </c>
      <c r="H40" s="30">
        <f>Data!$B$278</f>
        <v>-7.4698182909040955E-2</v>
      </c>
      <c r="I40">
        <v>13395456</v>
      </c>
    </row>
    <row r="41" spans="1:9" x14ac:dyDescent="0.2">
      <c r="A41" t="str">
        <f>Data!$C$303</f>
        <v>1.3</v>
      </c>
      <c r="B41" s="31">
        <f>Data!$B$303</f>
        <v>1.2778291029234454</v>
      </c>
      <c r="C41">
        <v>6684672</v>
      </c>
      <c r="D41" t="s">
        <v>119</v>
      </c>
      <c r="E41">
        <v>3</v>
      </c>
      <c r="F41" t="s">
        <v>130</v>
      </c>
      <c r="G41" s="30">
        <f>Data!$B$278</f>
        <v>-7.4698182909040955E-2</v>
      </c>
      <c r="H41" s="30">
        <f>Data!$B$277</f>
        <v>5.2814904986970612E-2</v>
      </c>
      <c r="I41">
        <v>16777215</v>
      </c>
    </row>
    <row r="42" spans="1:9" x14ac:dyDescent="0.2">
      <c r="A42" t="str">
        <f>Data!$C$304</f>
        <v>1.9</v>
      </c>
      <c r="B42" s="31">
        <f>Data!$B$304</f>
        <v>1.8700345993578436</v>
      </c>
      <c r="C42">
        <v>255</v>
      </c>
      <c r="D42" t="s">
        <v>119</v>
      </c>
      <c r="E42">
        <v>3</v>
      </c>
      <c r="F42" t="s">
        <v>133</v>
      </c>
      <c r="G42" s="30">
        <f>Data!$B$277</f>
        <v>5.2814904986970612E-2</v>
      </c>
      <c r="H42" s="30">
        <f>Data!$B$275</f>
        <v>1.1631730229949522</v>
      </c>
      <c r="I42">
        <v>13395456</v>
      </c>
    </row>
    <row r="43" spans="1:9" x14ac:dyDescent="0.2">
      <c r="A43" t="str">
        <f>Data!$C$313</f>
        <v>$13.53</v>
      </c>
      <c r="B43" s="31">
        <f>Data!$B$313</f>
        <v>13.53</v>
      </c>
      <c r="C43">
        <v>6684672</v>
      </c>
      <c r="D43" t="s">
        <v>119</v>
      </c>
      <c r="E43">
        <v>3</v>
      </c>
      <c r="F43" t="s">
        <v>120</v>
      </c>
      <c r="G43" s="31">
        <f>Data!$B$286</f>
        <v>3.1499038461538462</v>
      </c>
      <c r="H43" s="31">
        <f>Data!$B$288</f>
        <v>5.1391107634705939</v>
      </c>
      <c r="I43">
        <v>13395456</v>
      </c>
    </row>
    <row r="44" spans="1:9" x14ac:dyDescent="0.2">
      <c r="A44" t="str">
        <f>Data!$C$314</f>
        <v>$12.12</v>
      </c>
      <c r="B44" s="31">
        <f>Data!$B$314</f>
        <v>12.12</v>
      </c>
      <c r="C44">
        <v>255</v>
      </c>
      <c r="D44" t="s">
        <v>119</v>
      </c>
      <c r="E44">
        <v>3</v>
      </c>
      <c r="F44" t="s">
        <v>130</v>
      </c>
      <c r="G44" s="31">
        <f>Data!$B$288</f>
        <v>5.1391107634705939</v>
      </c>
      <c r="H44" s="31">
        <f>Data!$B$287</f>
        <v>8.846016010354246</v>
      </c>
      <c r="I44">
        <v>16777215</v>
      </c>
    </row>
    <row r="45" spans="1:9" x14ac:dyDescent="0.2">
      <c r="A45" t="str">
        <f>Data!$C$323</f>
        <v>175</v>
      </c>
      <c r="B45" s="31">
        <f>Data!$B$323</f>
        <v>175.37541299343906</v>
      </c>
      <c r="C45">
        <v>6684672</v>
      </c>
      <c r="D45" t="s">
        <v>119</v>
      </c>
      <c r="E45">
        <v>3</v>
      </c>
      <c r="F45" t="s">
        <v>133</v>
      </c>
      <c r="G45" s="31">
        <f>Data!$B$287</f>
        <v>8.846016010354246</v>
      </c>
      <c r="H45" s="31">
        <f>Data!$B$285</f>
        <v>12.950159308147473</v>
      </c>
      <c r="I45">
        <v>13395456</v>
      </c>
    </row>
    <row r="46" spans="1:9" x14ac:dyDescent="0.2">
      <c r="A46" t="str">
        <f>Data!$C$324</f>
        <v>225</v>
      </c>
      <c r="B46" s="31">
        <f>Data!$B$324</f>
        <v>225.13426248570894</v>
      </c>
      <c r="C46">
        <v>255</v>
      </c>
      <c r="D46" t="s">
        <v>119</v>
      </c>
      <c r="E46">
        <v>3</v>
      </c>
      <c r="F46" t="s">
        <v>120</v>
      </c>
      <c r="G46" s="32">
        <f>Data!$B$296</f>
        <v>2.83</v>
      </c>
      <c r="H46" s="32">
        <f>Data!$B$298</f>
        <v>3.86</v>
      </c>
      <c r="I46">
        <v>13395456</v>
      </c>
    </row>
    <row r="47" spans="1:9" x14ac:dyDescent="0.2">
      <c r="A47" t="str">
        <f>Data!$C$333</f>
        <v>00:02:58</v>
      </c>
      <c r="B47">
        <f>Data!$B$333</f>
        <v>2.0651455026455025E-3</v>
      </c>
      <c r="C47">
        <v>6684672</v>
      </c>
      <c r="D47" t="s">
        <v>119</v>
      </c>
      <c r="E47">
        <v>3</v>
      </c>
      <c r="F47" t="s">
        <v>130</v>
      </c>
      <c r="G47" s="32">
        <f>Data!$B$298</f>
        <v>3.86</v>
      </c>
      <c r="H47" s="32">
        <f>Data!$B$297</f>
        <v>6.31</v>
      </c>
      <c r="I47">
        <v>16777215</v>
      </c>
    </row>
    <row r="48" spans="1:9" x14ac:dyDescent="0.2">
      <c r="A48" t="str">
        <f>Data!$C$334</f>
        <v>00:04:04</v>
      </c>
      <c r="B48">
        <f>Data!$B$334</f>
        <v>2.8273010712434568E-3</v>
      </c>
      <c r="C48">
        <v>255</v>
      </c>
      <c r="D48" t="s">
        <v>119</v>
      </c>
      <c r="E48">
        <v>3</v>
      </c>
      <c r="F48" t="s">
        <v>133</v>
      </c>
      <c r="G48" s="32">
        <f>Data!$B$297</f>
        <v>6.31</v>
      </c>
      <c r="H48" s="32">
        <f>Data!$B$295</f>
        <v>10.74</v>
      </c>
      <c r="I48">
        <v>13395456</v>
      </c>
    </row>
    <row r="49" spans="1:9" x14ac:dyDescent="0.2">
      <c r="A49" t="str">
        <f>Data!$C$333</f>
        <v>00:02:58</v>
      </c>
      <c r="B49">
        <f>Data!$B$333</f>
        <v>2.0651455026455025E-3</v>
      </c>
      <c r="C49">
        <v>6684672</v>
      </c>
      <c r="D49" t="s">
        <v>119</v>
      </c>
      <c r="E49">
        <v>3</v>
      </c>
      <c r="F49" t="s">
        <v>120</v>
      </c>
      <c r="G49">
        <f>Data!$B$56</f>
        <v>0</v>
      </c>
      <c r="H49">
        <f>Data!$B$58</f>
        <v>1.9230717845672269E-5</v>
      </c>
      <c r="I49">
        <v>13395456</v>
      </c>
    </row>
    <row r="50" spans="1:9" x14ac:dyDescent="0.2">
      <c r="A50" t="str">
        <f>Data!$C$334</f>
        <v>00:04:04</v>
      </c>
      <c r="B50">
        <f>Data!$B$334</f>
        <v>2.8273010712434568E-3</v>
      </c>
      <c r="C50">
        <v>255</v>
      </c>
      <c r="D50" t="s">
        <v>119</v>
      </c>
      <c r="E50">
        <v>3</v>
      </c>
      <c r="F50" t="s">
        <v>130</v>
      </c>
      <c r="G50">
        <f>Data!$B$58</f>
        <v>1.9230717845672269E-5</v>
      </c>
      <c r="H50">
        <f>Data!$B$57</f>
        <v>2.121371490566537E-4</v>
      </c>
      <c r="I50">
        <v>16777215</v>
      </c>
    </row>
    <row r="51" spans="1:9" x14ac:dyDescent="0.2">
      <c r="A51" t="str">
        <f>Data!$C$373</f>
        <v>00:05</v>
      </c>
      <c r="B51">
        <f>Data!$B$373</f>
        <v>5.7870370370370373E-5</v>
      </c>
      <c r="C51">
        <v>6684672</v>
      </c>
      <c r="D51" t="s">
        <v>119</v>
      </c>
      <c r="E51">
        <v>3</v>
      </c>
      <c r="F51" t="s">
        <v>133</v>
      </c>
      <c r="G51">
        <f>Data!$B$57</f>
        <v>2.121371490566537E-4</v>
      </c>
      <c r="H51">
        <f>Data!$B$55</f>
        <v>8.1804625989216596E-4</v>
      </c>
      <c r="I51">
        <v>13395456</v>
      </c>
    </row>
    <row r="52" spans="1:9" x14ac:dyDescent="0.2">
      <c r="A52" t="str">
        <f>Data!$C$374</f>
        <v>00:05</v>
      </c>
      <c r="B52">
        <f>Data!$B$374</f>
        <v>5.7870370370370373E-5</v>
      </c>
      <c r="C52">
        <v>255</v>
      </c>
      <c r="D52" t="s">
        <v>119</v>
      </c>
      <c r="E52">
        <v>3</v>
      </c>
      <c r="F52" t="s">
        <v>120</v>
      </c>
      <c r="G52">
        <f>Data!$B$116</f>
        <v>0</v>
      </c>
      <c r="H52">
        <f>Data!$B$118</f>
        <v>1.0230654761904761E-4</v>
      </c>
      <c r="I52">
        <v>13395456</v>
      </c>
    </row>
    <row r="53" spans="1:9" x14ac:dyDescent="0.2">
      <c r="A53" t="str">
        <f>Data!$C$383</f>
        <v>00:00</v>
      </c>
      <c r="B53">
        <f>Data!$B$383</f>
        <v>0</v>
      </c>
      <c r="C53">
        <v>6684672</v>
      </c>
      <c r="D53" t="s">
        <v>119</v>
      </c>
      <c r="E53">
        <v>3</v>
      </c>
      <c r="F53" t="s">
        <v>130</v>
      </c>
      <c r="G53">
        <f>Data!$B$118</f>
        <v>1.0230654761904761E-4</v>
      </c>
      <c r="H53">
        <f>Data!$B$117</f>
        <v>3.5230402893933363E-4</v>
      </c>
      <c r="I53">
        <v>16777215</v>
      </c>
    </row>
    <row r="54" spans="1:9" x14ac:dyDescent="0.2">
      <c r="A54" t="str">
        <f>Data!$C$384</f>
        <v>00:00</v>
      </c>
      <c r="B54">
        <f>Data!$B$384</f>
        <v>0</v>
      </c>
      <c r="C54">
        <v>255</v>
      </c>
      <c r="D54" t="s">
        <v>119</v>
      </c>
      <c r="E54">
        <v>3</v>
      </c>
      <c r="F54" t="s">
        <v>133</v>
      </c>
      <c r="G54">
        <f>Data!$B$117</f>
        <v>3.5230402893933363E-4</v>
      </c>
      <c r="H54">
        <f>Data!$B$115</f>
        <v>7.6058201058201052E-4</v>
      </c>
      <c r="I54">
        <v>13395456</v>
      </c>
    </row>
    <row r="55" spans="1:9" x14ac:dyDescent="0.2">
      <c r="A55" s="13" t="str">
        <f>Data!$C$393</f>
        <v>200%</v>
      </c>
      <c r="B55" s="30">
        <f>Data!$B$393</f>
        <v>2</v>
      </c>
      <c r="C55">
        <v>6684672</v>
      </c>
      <c r="D55" t="s">
        <v>119</v>
      </c>
      <c r="E55">
        <v>3</v>
      </c>
      <c r="F55" t="s">
        <v>120</v>
      </c>
      <c r="G55">
        <f>Data!$B$126</f>
        <v>0</v>
      </c>
      <c r="H55">
        <f>Data!$B$128</f>
        <v>4.6518874643874651E-5</v>
      </c>
      <c r="I55">
        <v>13395456</v>
      </c>
    </row>
    <row r="56" spans="1:9" x14ac:dyDescent="0.2">
      <c r="A56" s="13" t="str">
        <f>Data!$C$394</f>
        <v>200%</v>
      </c>
      <c r="B56" s="30">
        <f>Data!$B$394</f>
        <v>2</v>
      </c>
      <c r="C56">
        <v>255</v>
      </c>
      <c r="D56" t="s">
        <v>119</v>
      </c>
      <c r="E56">
        <v>3</v>
      </c>
      <c r="F56" t="s">
        <v>130</v>
      </c>
      <c r="G56">
        <f>Data!$B$128</f>
        <v>4.6518874643874651E-5</v>
      </c>
      <c r="H56">
        <f>Data!$B$127</f>
        <v>3.1886574074074071E-4</v>
      </c>
      <c r="I56">
        <v>16777215</v>
      </c>
    </row>
    <row r="57" spans="1:9" x14ac:dyDescent="0.2">
      <c r="A57" s="31" t="str">
        <f>Data!$C$403</f>
        <v>200.0</v>
      </c>
      <c r="B57" s="31">
        <f>Data!$B$403</f>
        <v>200</v>
      </c>
      <c r="C57">
        <v>6684672</v>
      </c>
      <c r="D57" t="s">
        <v>119</v>
      </c>
      <c r="E57">
        <v>3</v>
      </c>
      <c r="F57" t="s">
        <v>133</v>
      </c>
      <c r="G57">
        <f>Data!$B$127</f>
        <v>3.1886574074074071E-4</v>
      </c>
      <c r="H57">
        <f>Data!$B$125</f>
        <v>8.502492877492878E-4</v>
      </c>
      <c r="I57">
        <v>13395456</v>
      </c>
    </row>
    <row r="58" spans="1:9" x14ac:dyDescent="0.2">
      <c r="A58" s="31" t="str">
        <f>Data!$C$404</f>
        <v>200.0</v>
      </c>
      <c r="B58" s="31">
        <f>Data!$B$404</f>
        <v>200</v>
      </c>
      <c r="C58">
        <v>255</v>
      </c>
      <c r="D58" t="s">
        <v>119</v>
      </c>
      <c r="E58">
        <v>3</v>
      </c>
      <c r="F58" t="s">
        <v>120</v>
      </c>
      <c r="G58" s="31">
        <f>Data!$B$306</f>
        <v>0.47931063077008124</v>
      </c>
      <c r="H58" s="31">
        <f>Data!$B$308</f>
        <v>1.1717826850929027</v>
      </c>
      <c r="I58">
        <v>13395456</v>
      </c>
    </row>
    <row r="59" spans="1:9" x14ac:dyDescent="0.2">
      <c r="A59" s="31" t="str">
        <f>Data!$C$403</f>
        <v>200.0</v>
      </c>
      <c r="B59" s="31">
        <f>Data!$B$403</f>
        <v>200</v>
      </c>
      <c r="C59">
        <v>6684672</v>
      </c>
      <c r="D59" t="s">
        <v>119</v>
      </c>
      <c r="E59">
        <v>3</v>
      </c>
      <c r="F59" t="s">
        <v>130</v>
      </c>
      <c r="G59" s="31">
        <f>Data!$B$308</f>
        <v>1.1717826850929027</v>
      </c>
      <c r="H59" s="31">
        <f>Data!$B$307</f>
        <v>2.5234802807697512</v>
      </c>
      <c r="I59">
        <v>16777215</v>
      </c>
    </row>
    <row r="60" spans="1:9" x14ac:dyDescent="0.2">
      <c r="A60" s="31" t="str">
        <f>Data!$C$404</f>
        <v>200.0</v>
      </c>
      <c r="B60" s="31">
        <f>Data!$B$404</f>
        <v>200</v>
      </c>
      <c r="C60">
        <v>255</v>
      </c>
      <c r="D60" t="s">
        <v>119</v>
      </c>
      <c r="E60">
        <v>3</v>
      </c>
      <c r="F60" t="s">
        <v>133</v>
      </c>
      <c r="G60" s="31">
        <f>Data!$B$307</f>
        <v>2.5234802807697512</v>
      </c>
      <c r="H60" s="31">
        <f>Data!$B$305</f>
        <v>4.9746357493074314</v>
      </c>
      <c r="I60">
        <v>13395456</v>
      </c>
    </row>
    <row r="61" spans="1:9" x14ac:dyDescent="0.2">
      <c r="A61" s="31" t="str">
        <f>Data!$C$143</f>
        <v>20.3</v>
      </c>
      <c r="B61" s="31" t="str">
        <f>Data!$C$143</f>
        <v>20.3</v>
      </c>
      <c r="C61">
        <v>6684672</v>
      </c>
      <c r="D61" t="s">
        <v>119</v>
      </c>
      <c r="E61">
        <v>3</v>
      </c>
      <c r="F61" t="s">
        <v>120</v>
      </c>
      <c r="G61" s="31">
        <f>Data!$B$316</f>
        <v>5.69</v>
      </c>
      <c r="H61" s="31">
        <f>Data!$B$318</f>
        <v>10.51</v>
      </c>
      <c r="I61">
        <v>13395456</v>
      </c>
    </row>
    <row r="62" spans="1:9" x14ac:dyDescent="0.2">
      <c r="A62" s="31" t="str">
        <f>Data!$C$144</f>
        <v>32.0</v>
      </c>
      <c r="B62" s="31" t="str">
        <f>Data!$C$144</f>
        <v>32.0</v>
      </c>
      <c r="C62">
        <v>255</v>
      </c>
      <c r="D62" t="s">
        <v>119</v>
      </c>
      <c r="E62">
        <v>3</v>
      </c>
      <c r="F62" t="s">
        <v>130</v>
      </c>
      <c r="G62" s="31">
        <f>Data!$B$318</f>
        <v>10.51</v>
      </c>
      <c r="H62" s="31">
        <f>Data!$B$317</f>
        <v>13.76</v>
      </c>
      <c r="I62">
        <v>16777215</v>
      </c>
    </row>
    <row r="63" spans="1:9" x14ac:dyDescent="0.2">
      <c r="A63" s="31" t="str">
        <f>Data!$C$153</f>
        <v>111.1</v>
      </c>
      <c r="B63" s="31">
        <f>Data!$B$153</f>
        <v>111.11111111111111</v>
      </c>
      <c r="C63">
        <v>6684672</v>
      </c>
      <c r="D63" t="s">
        <v>119</v>
      </c>
      <c r="E63">
        <v>3</v>
      </c>
      <c r="F63" t="s">
        <v>133</v>
      </c>
      <c r="G63" s="31">
        <f>Data!$B$317</f>
        <v>13.76</v>
      </c>
      <c r="H63" s="31">
        <f>Data!$B$315</f>
        <v>25.03</v>
      </c>
      <c r="I63">
        <v>13395456</v>
      </c>
    </row>
    <row r="64" spans="1:9" x14ac:dyDescent="0.2">
      <c r="A64" s="31" t="str">
        <f>Data!$C$154</f>
        <v>119.9</v>
      </c>
      <c r="B64" s="31">
        <f>Data!$B$154</f>
        <v>119.863872599808</v>
      </c>
      <c r="C64">
        <v>255</v>
      </c>
      <c r="D64" t="s">
        <v>119</v>
      </c>
      <c r="E64">
        <v>3</v>
      </c>
      <c r="F64" t="s">
        <v>120</v>
      </c>
      <c r="G64" s="31">
        <f>Data!$B$326</f>
        <v>0</v>
      </c>
      <c r="H64" s="31">
        <f>Data!$B$328</f>
        <v>103.33006862623185</v>
      </c>
      <c r="I64">
        <v>13395456</v>
      </c>
    </row>
    <row r="65" spans="6:9" x14ac:dyDescent="0.2">
      <c r="F65" t="s">
        <v>130</v>
      </c>
      <c r="G65" s="31">
        <f>Data!$B$328</f>
        <v>103.33006862623185</v>
      </c>
      <c r="H65" s="31">
        <f>Data!$B$327</f>
        <v>312.74204050063361</v>
      </c>
      <c r="I65">
        <v>16777215</v>
      </c>
    </row>
    <row r="66" spans="6:9" x14ac:dyDescent="0.2">
      <c r="F66" t="s">
        <v>133</v>
      </c>
      <c r="G66" s="31">
        <f>Data!$B$327</f>
        <v>312.74204050063361</v>
      </c>
      <c r="H66" s="31">
        <f>Data!$B$325</f>
        <v>1730.1449571020107</v>
      </c>
      <c r="I66">
        <v>13395456</v>
      </c>
    </row>
    <row r="67" spans="6:9" x14ac:dyDescent="0.2">
      <c r="F67" t="s">
        <v>120</v>
      </c>
      <c r="G67">
        <f>Data!$B$336</f>
        <v>2.797394852479598E-4</v>
      </c>
      <c r="H67">
        <f>Data!$B$338</f>
        <v>1.7237604216770884E-3</v>
      </c>
      <c r="I67">
        <v>13395456</v>
      </c>
    </row>
    <row r="68" spans="6:9" x14ac:dyDescent="0.2">
      <c r="F68" t="s">
        <v>130</v>
      </c>
      <c r="G68">
        <f>Data!$B$338</f>
        <v>1.7237604216770884E-3</v>
      </c>
      <c r="H68">
        <f>Data!$B$337</f>
        <v>3.6472746124438836E-3</v>
      </c>
      <c r="I68">
        <v>16777215</v>
      </c>
    </row>
    <row r="69" spans="6:9" x14ac:dyDescent="0.2">
      <c r="F69" t="s">
        <v>133</v>
      </c>
      <c r="G69">
        <f>Data!$B$337</f>
        <v>3.6472746124438836E-3</v>
      </c>
      <c r="H69">
        <f>Data!$B$335</f>
        <v>7.5309886499402628E-3</v>
      </c>
      <c r="I69">
        <v>13395456</v>
      </c>
    </row>
    <row r="70" spans="6:9" x14ac:dyDescent="0.2">
      <c r="F70" t="s">
        <v>120</v>
      </c>
      <c r="G70">
        <f>Data!$B$376</f>
        <v>0</v>
      </c>
      <c r="H70">
        <f>Data!$B$378</f>
        <v>5.7870370370370373E-5</v>
      </c>
      <c r="I70">
        <v>13395456</v>
      </c>
    </row>
    <row r="71" spans="6:9" x14ac:dyDescent="0.2">
      <c r="F71" t="s">
        <v>130</v>
      </c>
      <c r="G71">
        <f>Data!$B$378</f>
        <v>5.7870370370370373E-5</v>
      </c>
      <c r="H71">
        <f>Data!$B$377</f>
        <v>5.7870370370370373E-5</v>
      </c>
      <c r="I71">
        <v>16777215</v>
      </c>
    </row>
    <row r="72" spans="6:9" x14ac:dyDescent="0.2">
      <c r="F72" t="s">
        <v>133</v>
      </c>
      <c r="G72">
        <f>Data!$B$377</f>
        <v>5.7870370370370373E-5</v>
      </c>
      <c r="H72">
        <f>Data!$B$375</f>
        <v>0</v>
      </c>
      <c r="I72">
        <v>13395456</v>
      </c>
    </row>
    <row r="73" spans="6:9" x14ac:dyDescent="0.2">
      <c r="F73" t="s">
        <v>120</v>
      </c>
      <c r="G73">
        <f>Data!$B$386</f>
        <v>0</v>
      </c>
      <c r="H73">
        <f>Data!$B$388</f>
        <v>0</v>
      </c>
      <c r="I73">
        <v>13395456</v>
      </c>
    </row>
    <row r="74" spans="6:9" x14ac:dyDescent="0.2">
      <c r="F74" t="s">
        <v>130</v>
      </c>
      <c r="G74">
        <f>Data!$B$388</f>
        <v>0</v>
      </c>
      <c r="H74">
        <f>Data!$B$387</f>
        <v>0</v>
      </c>
      <c r="I74">
        <v>16777215</v>
      </c>
    </row>
    <row r="75" spans="6:9" x14ac:dyDescent="0.2">
      <c r="F75" t="s">
        <v>133</v>
      </c>
      <c r="G75">
        <f>Data!$B$387</f>
        <v>0</v>
      </c>
      <c r="H75">
        <f>Data!$B$385</f>
        <v>0</v>
      </c>
      <c r="I75">
        <v>13395456</v>
      </c>
    </row>
    <row r="76" spans="6:9" x14ac:dyDescent="0.2">
      <c r="F76" t="s">
        <v>120</v>
      </c>
      <c r="G76" s="30">
        <f>Data!$B$396</f>
        <v>0</v>
      </c>
      <c r="H76" s="30">
        <f>Data!$B$398</f>
        <v>2</v>
      </c>
      <c r="I76">
        <v>13395456</v>
      </c>
    </row>
    <row r="77" spans="6:9" x14ac:dyDescent="0.2">
      <c r="F77" t="s">
        <v>130</v>
      </c>
      <c r="G77" s="30">
        <f>Data!$B$398</f>
        <v>2</v>
      </c>
      <c r="H77" s="30">
        <f>Data!$B$397</f>
        <v>2</v>
      </c>
      <c r="I77">
        <v>16777215</v>
      </c>
    </row>
    <row r="78" spans="6:9" x14ac:dyDescent="0.2">
      <c r="F78" t="s">
        <v>133</v>
      </c>
      <c r="G78" s="30">
        <f>Data!$B$397</f>
        <v>2</v>
      </c>
      <c r="H78" s="30">
        <f>Data!$B$395</f>
        <v>0</v>
      </c>
      <c r="I78">
        <v>13395456</v>
      </c>
    </row>
    <row r="79" spans="6:9" x14ac:dyDescent="0.2">
      <c r="F79" t="s">
        <v>120</v>
      </c>
      <c r="G79" s="31">
        <f>Data!$B$406</f>
        <v>0</v>
      </c>
      <c r="H79" s="31">
        <f>Data!$B$408</f>
        <v>200</v>
      </c>
      <c r="I79">
        <v>13395456</v>
      </c>
    </row>
    <row r="80" spans="6:9" x14ac:dyDescent="0.2">
      <c r="F80" t="s">
        <v>130</v>
      </c>
      <c r="G80" s="31">
        <f>Data!$B$408</f>
        <v>200</v>
      </c>
      <c r="H80" s="31">
        <f>Data!$B$407</f>
        <v>200</v>
      </c>
      <c r="I80">
        <v>16777215</v>
      </c>
    </row>
    <row r="81" spans="6:9" x14ac:dyDescent="0.2">
      <c r="F81" t="s">
        <v>133</v>
      </c>
      <c r="G81" s="31">
        <f>Data!$B$407</f>
        <v>200</v>
      </c>
      <c r="H81" s="31">
        <f>Data!$B$405</f>
        <v>0</v>
      </c>
      <c r="I81">
        <v>13395456</v>
      </c>
    </row>
    <row r="82" spans="6:9" x14ac:dyDescent="0.2">
      <c r="F82" t="s">
        <v>120</v>
      </c>
      <c r="G82" s="31">
        <f>Data!$B$406</f>
        <v>0</v>
      </c>
      <c r="H82" s="31">
        <f>Data!$B$408</f>
        <v>200</v>
      </c>
      <c r="I82">
        <v>13395456</v>
      </c>
    </row>
    <row r="83" spans="6:9" x14ac:dyDescent="0.2">
      <c r="F83" t="s">
        <v>130</v>
      </c>
      <c r="G83" s="31">
        <f>Data!$B$408</f>
        <v>200</v>
      </c>
      <c r="H83" s="31">
        <f>Data!$B$407</f>
        <v>200</v>
      </c>
      <c r="I83">
        <v>16777215</v>
      </c>
    </row>
    <row r="84" spans="6:9" x14ac:dyDescent="0.2">
      <c r="F84" t="s">
        <v>133</v>
      </c>
      <c r="G84" s="31">
        <f>Data!$B$407</f>
        <v>200</v>
      </c>
      <c r="H84" s="31">
        <f>Data!$B$405</f>
        <v>0</v>
      </c>
      <c r="I84">
        <v>13395456</v>
      </c>
    </row>
    <row r="85" spans="6:9" x14ac:dyDescent="0.2">
      <c r="F85" t="s">
        <v>120</v>
      </c>
      <c r="G85" s="31">
        <f>Data!$B$146</f>
        <v>2.6315789473684212</v>
      </c>
      <c r="H85" s="31">
        <f>Data!$B$148</f>
        <v>18.181818181818183</v>
      </c>
      <c r="I85">
        <v>13395456</v>
      </c>
    </row>
    <row r="86" spans="6:9" x14ac:dyDescent="0.2">
      <c r="F86" t="s">
        <v>130</v>
      </c>
      <c r="G86" s="31">
        <f>Data!$B$148</f>
        <v>18.181818181818183</v>
      </c>
      <c r="H86" s="31">
        <f>Data!$B$147</f>
        <v>43.678160919540225</v>
      </c>
      <c r="I86">
        <v>16777215</v>
      </c>
    </row>
    <row r="87" spans="6:9" x14ac:dyDescent="0.2">
      <c r="F87" t="s">
        <v>133</v>
      </c>
      <c r="G87" s="31">
        <f>Data!$B$147</f>
        <v>43.678160919540225</v>
      </c>
      <c r="H87" s="31">
        <f>Data!$B$145</f>
        <v>104.16666666666667</v>
      </c>
      <c r="I87">
        <v>13395456</v>
      </c>
    </row>
    <row r="88" spans="6:9" x14ac:dyDescent="0.2">
      <c r="F88" t="s">
        <v>120</v>
      </c>
      <c r="G88" s="31">
        <f>Data!$B$156</f>
        <v>72.727272727272734</v>
      </c>
      <c r="H88" s="31">
        <f>Data!$B$158</f>
        <v>105.57275541795667</v>
      </c>
      <c r="I88">
        <v>13395456</v>
      </c>
    </row>
    <row r="89" spans="6:9" x14ac:dyDescent="0.2">
      <c r="F89" t="s">
        <v>130</v>
      </c>
      <c r="G89" s="31">
        <f>Data!$B$158</f>
        <v>105.57275541795667</v>
      </c>
      <c r="H89" s="31">
        <f>Data!$B$157</f>
        <v>133.33333333333334</v>
      </c>
      <c r="I89">
        <v>16777215</v>
      </c>
    </row>
    <row r="90" spans="6:9" x14ac:dyDescent="0.2">
      <c r="F90" t="s">
        <v>133</v>
      </c>
      <c r="G90" s="31">
        <f>Data!$B$157</f>
        <v>133.33333333333334</v>
      </c>
      <c r="H90" s="31">
        <f>Data!$B$155</f>
        <v>190</v>
      </c>
      <c r="I90">
        <v>13395456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7:B38"/>
  <sheetViews>
    <sheetView showGridLines="0" showRowColHeaders="0" topLeftCell="A9" zoomScale="90" zoomScaleNormal="90" zoomScalePageLayoutView="90" workbookViewId="0">
      <selection activeCell="T12" sqref="T12"/>
    </sheetView>
  </sheetViews>
  <sheetFormatPr defaultColWidth="9" defaultRowHeight="11.25" x14ac:dyDescent="0.2"/>
  <cols>
    <col min="1" max="12" width="9" style="1"/>
    <col min="13" max="13" width="9" style="1" customWidth="1"/>
    <col min="14" max="16384" width="9" style="1"/>
  </cols>
  <sheetData>
    <row r="7" spans="1:1" x14ac:dyDescent="0.2">
      <c r="A7" s="10"/>
    </row>
    <row r="8" spans="1:1" x14ac:dyDescent="0.2">
      <c r="A8" s="10" t="s">
        <v>0</v>
      </c>
    </row>
    <row r="32" spans="2:2" ht="12" x14ac:dyDescent="0.2">
      <c r="B32" s="7"/>
    </row>
    <row r="33" spans="2:2" ht="12" x14ac:dyDescent="0.2">
      <c r="B33" s="8"/>
    </row>
    <row r="34" spans="2:2" ht="12" x14ac:dyDescent="0.2">
      <c r="B34" s="8"/>
    </row>
    <row r="35" spans="2:2" ht="12" x14ac:dyDescent="0.2">
      <c r="B35" s="9"/>
    </row>
    <row r="36" spans="2:2" ht="12" x14ac:dyDescent="0.2">
      <c r="B36" s="9"/>
    </row>
    <row r="37" spans="2:2" ht="12" x14ac:dyDescent="0.2">
      <c r="B37" s="9"/>
    </row>
    <row r="38" spans="2:2" ht="12" x14ac:dyDescent="0.2">
      <c r="B38" s="9"/>
    </row>
  </sheetData>
  <pageMargins left="0.7" right="0.7" top="0.75" bottom="0.75" header="0.3" footer="0.3"/>
  <pageSetup paperSize="9" scale="88"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4"/>
  <sheetViews>
    <sheetView showGridLines="0" showRowColHeaders="0" zoomScale="80" zoomScaleNormal="80" zoomScalePageLayoutView="86" workbookViewId="0">
      <selection activeCell="I25" sqref="I25"/>
    </sheetView>
  </sheetViews>
  <sheetFormatPr defaultColWidth="10.83203125" defaultRowHeight="14.25" x14ac:dyDescent="0.2"/>
  <cols>
    <col min="1" max="13" width="10.83203125" style="95"/>
    <col min="14" max="14" width="10.6640625" style="95" customWidth="1"/>
    <col min="15" max="16384" width="10.83203125" style="95"/>
  </cols>
  <sheetData>
    <row r="1" spans="1:23" x14ac:dyDescent="0.2">
      <c r="A1" s="97"/>
    </row>
    <row r="4" spans="1:23" x14ac:dyDescent="0.2">
      <c r="W4" s="96"/>
    </row>
  </sheetData>
  <pageMargins left="0.25" right="0.25" top="0.75" bottom="0.75" header="0.3" footer="0.3"/>
  <pageSetup paperSize="9" scale="81" orientation="landscape" horizontalDpi="4294967293"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Y102"/>
  <sheetViews>
    <sheetView showGridLines="0" showRowColHeaders="0" zoomScale="90" zoomScaleNormal="90" zoomScalePageLayoutView="90" workbookViewId="0">
      <selection activeCell="F79" sqref="F79:I79"/>
    </sheetView>
  </sheetViews>
  <sheetFormatPr defaultColWidth="9.33203125" defaultRowHeight="15" x14ac:dyDescent="0.25"/>
  <cols>
    <col min="1" max="22" width="9.83203125" style="21" customWidth="1"/>
    <col min="23" max="23" width="3.6640625" style="21" customWidth="1"/>
    <col min="24" max="24" width="9.83203125" style="21" customWidth="1"/>
    <col min="25" max="28" width="9.33203125" style="21"/>
    <col min="29" max="29" width="6.5" style="21" customWidth="1"/>
    <col min="30" max="30" width="5" style="21" customWidth="1"/>
    <col min="31" max="16384" width="9.33203125" style="21"/>
  </cols>
  <sheetData>
    <row r="1" spans="2:19" ht="27" customHeight="1" x14ac:dyDescent="0.25">
      <c r="P1" s="98" t="s">
        <v>34</v>
      </c>
      <c r="Q1" s="99"/>
      <c r="R1" s="99"/>
      <c r="S1" s="100"/>
    </row>
    <row r="2" spans="2:19" ht="30.75" customHeight="1" thickBot="1" x14ac:dyDescent="0.3">
      <c r="P2" s="101"/>
      <c r="Q2" s="102"/>
      <c r="R2" s="102"/>
      <c r="S2" s="103"/>
    </row>
    <row r="5" spans="2:19" x14ac:dyDescent="0.25"/>
    <row r="7" spans="2:19" ht="9.75" customHeight="1" x14ac:dyDescent="0.25"/>
    <row r="9" spans="2:19" ht="12" customHeight="1" x14ac:dyDescent="0.25">
      <c r="B9" s="104" t="s">
        <v>186</v>
      </c>
      <c r="C9" s="105"/>
      <c r="D9" s="105"/>
      <c r="E9" s="106"/>
    </row>
    <row r="26" spans="10:10" x14ac:dyDescent="0.25"/>
    <row r="59" spans="10:10" x14ac:dyDescent="0.25"/>
    <row r="76" spans="6:10" x14ac:dyDescent="0.25"/>
    <row r="79" spans="6:10" x14ac:dyDescent="0.25">
      <c r="F79" s="104" t="s">
        <v>187</v>
      </c>
      <c r="G79" s="105"/>
      <c r="H79" s="105"/>
      <c r="I79" s="106"/>
    </row>
    <row r="91" spans="4:10" x14ac:dyDescent="0.25"/>
    <row r="93" spans="4:10" x14ac:dyDescent="0.25">
      <c r="D93" s="5"/>
    </row>
    <row r="94" spans="4:10" ht="19.5" customHeight="1" x14ac:dyDescent="0.25"/>
    <row r="95" spans="4:10" ht="18" customHeight="1" x14ac:dyDescent="0.25"/>
    <row r="96" spans="4:10" ht="11.25" customHeight="1" x14ac:dyDescent="0.25"/>
    <row r="100" spans="18:25" x14ac:dyDescent="0.25">
      <c r="R100" s="46"/>
    </row>
    <row r="102" spans="18:25" x14ac:dyDescent="0.25">
      <c r="Y102" s="46"/>
    </row>
  </sheetData>
  <mergeCells count="3">
    <mergeCell ref="P1:S2"/>
    <mergeCell ref="B9:E9"/>
    <mergeCell ref="F79:I79"/>
  </mergeCells>
  <printOptions horizontalCentered="1"/>
  <pageMargins left="0.11811023622047245" right="0.11811023622047245" top="0.15748031496062992" bottom="0.15748031496062992" header="0" footer="0"/>
  <pageSetup paperSize="9" scale="68" fitToHeight="0" orientation="portrait" cellComments="atEnd" horizontalDpi="4294967293" r:id="rId1"/>
  <rowBreaks count="1" manualBreakCount="1">
    <brk id="57" max="1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T39"/>
  <sheetViews>
    <sheetView showGridLines="0" showRowColHeaders="0" zoomScale="90" zoomScaleNormal="90" zoomScalePageLayoutView="90" workbookViewId="0">
      <selection activeCell="H7" sqref="H6:H7"/>
    </sheetView>
  </sheetViews>
  <sheetFormatPr defaultColWidth="9.33203125" defaultRowHeight="15" x14ac:dyDescent="0.25"/>
  <cols>
    <col min="1" max="14" width="9.83203125" style="21" customWidth="1"/>
    <col min="15" max="15" width="7" style="21" customWidth="1"/>
    <col min="16" max="16" width="9.83203125" style="21" customWidth="1"/>
    <col min="17" max="20" width="9.33203125" style="21"/>
    <col min="21" max="21" width="6.5" style="21" customWidth="1"/>
    <col min="22" max="22" width="5" style="21" customWidth="1"/>
    <col min="23" max="16384" width="9.33203125" style="21"/>
  </cols>
  <sheetData>
    <row r="1" spans="1:20" ht="27" customHeight="1" x14ac:dyDescent="0.25">
      <c r="A1" s="20"/>
      <c r="B1" s="20"/>
      <c r="Q1" s="98" t="s">
        <v>34</v>
      </c>
      <c r="R1" s="99"/>
      <c r="S1" s="99"/>
      <c r="T1" s="100"/>
    </row>
    <row r="2" spans="1:20" ht="30.75" customHeight="1" thickBot="1" x14ac:dyDescent="0.3">
      <c r="A2" s="20"/>
      <c r="B2" s="20"/>
      <c r="Q2" s="101"/>
      <c r="R2" s="102"/>
      <c r="S2" s="102"/>
      <c r="T2" s="103"/>
    </row>
    <row r="5" spans="1:20" x14ac:dyDescent="0.25"/>
    <row r="8" spans="1:20" ht="11.25" customHeight="1" x14ac:dyDescent="0.25">
      <c r="C8" s="104" t="s">
        <v>188</v>
      </c>
      <c r="D8" s="105"/>
      <c r="E8" s="105"/>
      <c r="F8" s="106"/>
    </row>
    <row r="20" spans="1:15" x14ac:dyDescent="0.25">
      <c r="A20" s="20"/>
    </row>
    <row r="21" spans="1:15" ht="12" customHeight="1" x14ac:dyDescent="0.25"/>
    <row r="22" spans="1:15" ht="13.5" customHeight="1" x14ac:dyDescent="0.25"/>
    <row r="24" spans="1:15" x14ac:dyDescent="0.25">
      <c r="K24" s="104" t="str">
        <f>C8</f>
        <v>Blue needle = PHX   Red needle = Cohort Ave.</v>
      </c>
      <c r="L24" s="105"/>
      <c r="M24" s="105"/>
      <c r="N24" s="106"/>
    </row>
    <row r="35" spans="3:15" x14ac:dyDescent="0.25"/>
    <row r="38" spans="3:15" x14ac:dyDescent="0.25">
      <c r="C38" s="104" t="str">
        <f>C8</f>
        <v>Blue needle = PHX   Red needle = Cohort Ave.</v>
      </c>
      <c r="D38" s="105"/>
      <c r="E38" s="105"/>
      <c r="F38" s="106"/>
    </row>
    <row r="39" spans="3:15" x14ac:dyDescent="0.25">
      <c r="K39" s="104" t="str">
        <f>C8</f>
        <v>Blue needle = PHX   Red needle = Cohort Ave.</v>
      </c>
      <c r="L39" s="105"/>
      <c r="M39" s="105"/>
      <c r="N39" s="106"/>
    </row>
  </sheetData>
  <mergeCells count="5">
    <mergeCell ref="Q1:T2"/>
    <mergeCell ref="C8:F8"/>
    <mergeCell ref="K24:N24"/>
    <mergeCell ref="C38:F38"/>
    <mergeCell ref="K39:N39"/>
  </mergeCells>
  <printOptions horizontalCentered="1"/>
  <pageMargins left="0.11811023622047245" right="0.11811023622047245" top="0.15748031496062992" bottom="0.15748031496062992" header="0" footer="0"/>
  <pageSetup paperSize="9" scale="68" fitToHeight="0" orientation="portrait" cellComments="atEnd" horizontalDpi="4294967293"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P113"/>
  <sheetViews>
    <sheetView showGridLines="0" showRowColHeaders="0" zoomScale="90" zoomScaleNormal="90" zoomScalePageLayoutView="90" workbookViewId="0">
      <selection activeCell="S80" sqref="S80"/>
    </sheetView>
  </sheetViews>
  <sheetFormatPr defaultColWidth="9.33203125" defaultRowHeight="15" x14ac:dyDescent="0.25"/>
  <cols>
    <col min="1" max="11" width="9.83203125" style="21" customWidth="1"/>
    <col min="12" max="12" width="5" style="21" customWidth="1"/>
    <col min="13" max="16384" width="9.33203125" style="21"/>
  </cols>
  <sheetData>
    <row r="1" spans="1:16" ht="27" customHeight="1" x14ac:dyDescent="0.25">
      <c r="A1" s="20"/>
      <c r="B1" s="20"/>
      <c r="C1" s="20"/>
      <c r="M1" s="98" t="s">
        <v>34</v>
      </c>
      <c r="N1" s="99"/>
      <c r="O1" s="99"/>
      <c r="P1" s="100"/>
    </row>
    <row r="2" spans="1:16" ht="27" customHeight="1" thickBot="1" x14ac:dyDescent="0.3">
      <c r="A2" s="20"/>
      <c r="B2" s="20"/>
      <c r="C2" s="20"/>
      <c r="M2" s="101"/>
      <c r="N2" s="102"/>
      <c r="O2" s="102"/>
      <c r="P2" s="103"/>
    </row>
    <row r="3" spans="1:16" ht="30.75" customHeight="1" x14ac:dyDescent="0.25">
      <c r="A3" s="20"/>
      <c r="B3" s="20"/>
      <c r="C3" s="20"/>
    </row>
    <row r="4" spans="1:16" x14ac:dyDescent="0.25"/>
    <row r="6" spans="1:16" x14ac:dyDescent="0.25">
      <c r="D6" s="104" t="str">
        <f>'Benchmarking results P2'!C8</f>
        <v>Blue needle = PHX   Red needle = Cohort Ave.</v>
      </c>
      <c r="E6" s="105"/>
      <c r="F6" s="105"/>
      <c r="G6" s="106"/>
    </row>
    <row r="8" spans="1:16" ht="9.75" customHeight="1" x14ac:dyDescent="0.25"/>
    <row r="19" spans="9:9" x14ac:dyDescent="0.25"/>
    <row r="27" spans="9:9" ht="12.75" customHeight="1" x14ac:dyDescent="0.25"/>
    <row r="32" spans="9:9" x14ac:dyDescent="0.25"/>
    <row r="46" spans="9:9" x14ac:dyDescent="0.25"/>
    <row r="61" spans="4:9" ht="21.75" customHeight="1" x14ac:dyDescent="0.25"/>
    <row r="62" spans="4:9" ht="12" customHeight="1" x14ac:dyDescent="0.25">
      <c r="D62" s="71" t="str">
        <f>'Benchmarking results P2'!C8</f>
        <v>Blue needle = PHX   Red needle = Cohort Ave.</v>
      </c>
      <c r="E62" s="69"/>
      <c r="F62" s="69"/>
      <c r="G62" s="70"/>
    </row>
    <row r="63" spans="4:9" ht="12" customHeight="1" x14ac:dyDescent="0.25"/>
    <row r="64" spans="4:9" ht="12" customHeight="1" x14ac:dyDescent="0.25">
      <c r="D64" s="110" t="s">
        <v>186</v>
      </c>
      <c r="E64" s="111"/>
      <c r="F64" s="111"/>
      <c r="G64" s="111"/>
      <c r="H64" s="112"/>
    </row>
    <row r="70" spans="4:14" x14ac:dyDescent="0.25">
      <c r="N70" s="93"/>
    </row>
    <row r="75" spans="4:14" x14ac:dyDescent="0.25"/>
    <row r="76" spans="4:14" ht="12" customHeight="1" x14ac:dyDescent="0.25">
      <c r="D76" s="71" t="str">
        <f>'Benchmarking results P2'!C8</f>
        <v>Blue needle = PHX   Red needle = Cohort Ave.</v>
      </c>
      <c r="E76" s="69"/>
      <c r="F76" s="69"/>
      <c r="G76" s="70"/>
    </row>
    <row r="78" spans="4:14" x14ac:dyDescent="0.25">
      <c r="D78" s="110" t="s">
        <v>188</v>
      </c>
      <c r="E78" s="111"/>
      <c r="F78" s="111"/>
      <c r="G78" s="111"/>
      <c r="H78" s="112"/>
    </row>
    <row r="89" spans="2:9" x14ac:dyDescent="0.25"/>
    <row r="91" spans="2:9" ht="12" customHeight="1" x14ac:dyDescent="0.25">
      <c r="D91" s="107" t="str">
        <f>'Benchmarking results P2'!C8</f>
        <v>Blue needle = PHX   Red needle = Cohort Ave.</v>
      </c>
      <c r="E91" s="108"/>
      <c r="F91" s="108"/>
      <c r="G91" s="108"/>
      <c r="H91" s="109"/>
    </row>
    <row r="94" spans="2:9" x14ac:dyDescent="0.25">
      <c r="B94" s="22"/>
      <c r="C94" s="22"/>
    </row>
    <row r="95" spans="2:9" x14ac:dyDescent="0.25">
      <c r="B95" s="22"/>
      <c r="C95" s="22"/>
    </row>
    <row r="96" spans="2:9" x14ac:dyDescent="0.25">
      <c r="B96" s="22"/>
      <c r="C96" s="22"/>
    </row>
    <row r="97" spans="1:11" x14ac:dyDescent="0.25">
      <c r="A97" s="22"/>
      <c r="B97" s="22"/>
      <c r="C97" s="22"/>
    </row>
    <row r="98" spans="1:11" x14ac:dyDescent="0.25">
      <c r="A98" s="22"/>
      <c r="B98" s="22"/>
      <c r="C98" s="22"/>
    </row>
    <row r="99" spans="1:11" x14ac:dyDescent="0.25">
      <c r="A99" s="22"/>
      <c r="B99" s="22"/>
      <c r="C99" s="22"/>
    </row>
    <row r="100" spans="1:11" x14ac:dyDescent="0.25">
      <c r="A100" s="22"/>
      <c r="B100" s="22"/>
      <c r="C100" s="22"/>
    </row>
    <row r="101" spans="1:11" x14ac:dyDescent="0.25">
      <c r="A101" s="22"/>
      <c r="B101" s="22"/>
      <c r="C101" s="22"/>
    </row>
    <row r="102" spans="1:11" x14ac:dyDescent="0.25">
      <c r="A102" s="22"/>
      <c r="B102" s="22"/>
      <c r="C102" s="22"/>
    </row>
    <row r="104" spans="1:11" x14ac:dyDescent="0.25">
      <c r="K104" s="5"/>
    </row>
    <row r="105" spans="1:11" ht="19.5" customHeight="1" x14ac:dyDescent="0.25"/>
    <row r="106" spans="1:11" ht="18" customHeight="1" x14ac:dyDescent="0.25"/>
    <row r="107" spans="1:11" ht="11.25" customHeight="1" x14ac:dyDescent="0.25">
      <c r="D107" s="107" t="str">
        <f>'Benchmarking results P2'!C8</f>
        <v>Blue needle = PHX   Red needle = Cohort Ave.</v>
      </c>
      <c r="E107" s="108"/>
      <c r="F107" s="108"/>
      <c r="G107" s="108"/>
      <c r="H107" s="109"/>
    </row>
    <row r="113" spans="14:14" x14ac:dyDescent="0.25">
      <c r="N113" s="46"/>
    </row>
  </sheetData>
  <mergeCells count="6">
    <mergeCell ref="D107:H107"/>
    <mergeCell ref="M1:P2"/>
    <mergeCell ref="D78:H78"/>
    <mergeCell ref="D6:G6"/>
    <mergeCell ref="D64:H64"/>
    <mergeCell ref="D91:H91"/>
  </mergeCells>
  <printOptions horizontalCentered="1"/>
  <pageMargins left="0.11811023622047245" right="0.11811023622047245" top="0.15748031496062992" bottom="0.15748031496062992" header="0" footer="0"/>
  <pageSetup paperSize="9" scale="84" fitToHeight="0" orientation="portrait" cellComments="atEnd" horizontalDpi="4294967293" r:id="rId1"/>
  <rowBreaks count="2" manualBreakCount="2">
    <brk id="58" max="15" man="1"/>
    <brk id="102" max="15"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Y96"/>
  <sheetViews>
    <sheetView showGridLines="0" showRowColHeaders="0" zoomScale="90" zoomScaleNormal="90" zoomScalePageLayoutView="90" workbookViewId="0">
      <selection activeCell="U95" sqref="U95"/>
    </sheetView>
  </sheetViews>
  <sheetFormatPr defaultColWidth="9.33203125" defaultRowHeight="15" x14ac:dyDescent="0.25"/>
  <cols>
    <col min="1" max="15" width="9.83203125" style="21" customWidth="1"/>
    <col min="16" max="16" width="3.6640625" style="21" customWidth="1"/>
    <col min="17" max="17" width="9.83203125" style="21" customWidth="1"/>
    <col min="18" max="21" width="9.33203125" style="21"/>
    <col min="22" max="22" width="6.5" style="21" customWidth="1"/>
    <col min="23" max="23" width="5" style="21" customWidth="1"/>
    <col min="24" max="16384" width="9.33203125" style="21"/>
  </cols>
  <sheetData>
    <row r="1" spans="1:15" ht="27" customHeight="1" x14ac:dyDescent="0.25">
      <c r="L1" s="98" t="s">
        <v>34</v>
      </c>
      <c r="M1" s="99"/>
      <c r="N1" s="99"/>
      <c r="O1" s="100"/>
    </row>
    <row r="2" spans="1:15" ht="27" customHeight="1" thickBot="1" x14ac:dyDescent="0.3">
      <c r="L2" s="101"/>
      <c r="M2" s="102"/>
      <c r="N2" s="102"/>
      <c r="O2" s="103"/>
    </row>
    <row r="3" spans="1:15" ht="30.75" customHeight="1" x14ac:dyDescent="0.25"/>
    <row r="4" spans="1:15" x14ac:dyDescent="0.25">
      <c r="A4" s="22"/>
      <c r="B4" s="22"/>
      <c r="C4" s="22"/>
    </row>
    <row r="5" spans="1:15" ht="21" customHeight="1" x14ac:dyDescent="0.25">
      <c r="A5" s="22"/>
    </row>
    <row r="18" spans="9:9" x14ac:dyDescent="0.25"/>
    <row r="31" spans="9:9" x14ac:dyDescent="0.25"/>
    <row r="44" spans="4:10" x14ac:dyDescent="0.25"/>
    <row r="45" spans="4:10" ht="24" customHeight="1" x14ac:dyDescent="0.25"/>
    <row r="46" spans="4:10" x14ac:dyDescent="0.25">
      <c r="D46" s="110" t="str">
        <f>'Benchmarking results P2'!C8</f>
        <v>Blue needle = PHX   Red needle = Cohort Ave.</v>
      </c>
      <c r="E46" s="111"/>
      <c r="F46" s="111"/>
      <c r="G46" s="111"/>
      <c r="H46" s="112"/>
      <c r="I46" s="94"/>
      <c r="J46" s="94"/>
    </row>
    <row r="47" spans="4:10" ht="12" customHeight="1" x14ac:dyDescent="0.25"/>
    <row r="58" spans="4:9" x14ac:dyDescent="0.25"/>
    <row r="61" spans="4:9" ht="12" customHeight="1" x14ac:dyDescent="0.25">
      <c r="D61" s="107" t="str">
        <f>'Benchmarking results P2'!C8</f>
        <v>Blue needle = PHX   Red needle = Cohort Ave.</v>
      </c>
      <c r="E61" s="108"/>
      <c r="F61" s="108"/>
      <c r="G61" s="108"/>
      <c r="H61" s="109"/>
    </row>
    <row r="72" spans="4:9" x14ac:dyDescent="0.25"/>
    <row r="75" spans="4:9" ht="12" customHeight="1" x14ac:dyDescent="0.25">
      <c r="D75" s="107" t="str">
        <f>'Benchmarking results P2'!C8</f>
        <v>Blue needle = PHX   Red needle = Cohort Ave.</v>
      </c>
      <c r="E75" s="108"/>
      <c r="F75" s="108"/>
      <c r="G75" s="108"/>
      <c r="H75" s="109"/>
    </row>
    <row r="76" spans="4:9" ht="12" customHeight="1" x14ac:dyDescent="0.25"/>
    <row r="87" spans="4:25" x14ac:dyDescent="0.25">
      <c r="K87" s="5"/>
    </row>
    <row r="88" spans="4:25" ht="19.5" customHeight="1" x14ac:dyDescent="0.25"/>
    <row r="89" spans="4:25" ht="18" customHeight="1" x14ac:dyDescent="0.25"/>
    <row r="90" spans="4:25" ht="11.25" customHeight="1" x14ac:dyDescent="0.25">
      <c r="D90" s="107" t="str">
        <f>'Benchmarking results P2'!C8</f>
        <v>Blue needle = PHX   Red needle = Cohort Ave.</v>
      </c>
      <c r="E90" s="108"/>
      <c r="F90" s="108"/>
      <c r="G90" s="108"/>
      <c r="H90" s="109"/>
    </row>
    <row r="94" spans="4:25" x14ac:dyDescent="0.25">
      <c r="R94" s="46"/>
    </row>
    <row r="96" spans="4:25" x14ac:dyDescent="0.25">
      <c r="Y96" s="46"/>
    </row>
  </sheetData>
  <mergeCells count="5">
    <mergeCell ref="L1:O2"/>
    <mergeCell ref="D46:H46"/>
    <mergeCell ref="D61:H61"/>
    <mergeCell ref="D75:H75"/>
    <mergeCell ref="D90:H90"/>
  </mergeCells>
  <printOptions horizontalCentered="1"/>
  <pageMargins left="0.11811023622047245" right="0.11811023622047245" top="0.15748031496062992" bottom="0.15748031496062992" header="0" footer="0"/>
  <pageSetup paperSize="9" scale="87" fitToHeight="0" orientation="portrait" cellComments="atEnd" horizontalDpi="4294967293" r:id="rId1"/>
  <rowBreaks count="1" manualBreakCount="1">
    <brk id="57" max="14"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Y96"/>
  <sheetViews>
    <sheetView showGridLines="0" topLeftCell="A58" zoomScale="90" zoomScaleNormal="90" zoomScalePageLayoutView="90" workbookViewId="0">
      <selection activeCell="S105" sqref="S105"/>
    </sheetView>
  </sheetViews>
  <sheetFormatPr defaultColWidth="9.33203125" defaultRowHeight="15" x14ac:dyDescent="0.25"/>
  <cols>
    <col min="1" max="15" width="9.83203125" style="21" customWidth="1"/>
    <col min="16" max="16" width="3.6640625" style="21" customWidth="1"/>
    <col min="17" max="17" width="9.83203125" style="21" customWidth="1"/>
    <col min="18" max="21" width="9.33203125" style="21"/>
    <col min="22" max="22" width="6.5" style="21" customWidth="1"/>
    <col min="23" max="23" width="5" style="21" customWidth="1"/>
    <col min="24" max="16384" width="9.33203125" style="21"/>
  </cols>
  <sheetData>
    <row r="1" spans="1:15" ht="27" customHeight="1" x14ac:dyDescent="0.25">
      <c r="L1" s="98" t="s">
        <v>34</v>
      </c>
      <c r="M1" s="99"/>
      <c r="N1" s="99"/>
      <c r="O1" s="100"/>
    </row>
    <row r="2" spans="1:15" ht="27" customHeight="1" thickBot="1" x14ac:dyDescent="0.3">
      <c r="L2" s="101"/>
      <c r="M2" s="102"/>
      <c r="N2" s="102"/>
      <c r="O2" s="103"/>
    </row>
    <row r="3" spans="1:15" ht="30.75" customHeight="1" x14ac:dyDescent="0.25"/>
    <row r="4" spans="1:15" x14ac:dyDescent="0.25">
      <c r="A4" s="22"/>
      <c r="B4" s="22"/>
      <c r="C4" s="22"/>
    </row>
    <row r="5" spans="1:15" ht="21" customHeight="1" x14ac:dyDescent="0.25">
      <c r="A5" s="22"/>
    </row>
    <row r="18" spans="9:9" x14ac:dyDescent="0.25"/>
    <row r="31" spans="9:9" x14ac:dyDescent="0.25"/>
    <row r="44" spans="4:9" x14ac:dyDescent="0.25"/>
    <row r="45" spans="4:9" ht="24" customHeight="1" x14ac:dyDescent="0.25"/>
    <row r="47" spans="4:9" ht="12" customHeight="1" x14ac:dyDescent="0.25">
      <c r="D47" s="71" t="str">
        <f>'Benchmarking results P2'!C8</f>
        <v>Blue needle = PHX   Red needle = Cohort Ave.</v>
      </c>
      <c r="E47" s="69"/>
      <c r="F47" s="69"/>
      <c r="G47" s="70"/>
    </row>
    <row r="58" spans="4:9" x14ac:dyDescent="0.25"/>
    <row r="61" spans="4:9" ht="12" customHeight="1" x14ac:dyDescent="0.25">
      <c r="D61" s="71" t="str">
        <f>'Benchmarking results P2'!C8</f>
        <v>Blue needle = PHX   Red needle = Cohort Ave.</v>
      </c>
      <c r="E61" s="69"/>
      <c r="F61" s="69"/>
      <c r="G61" s="70"/>
    </row>
    <row r="73" spans="4:9" x14ac:dyDescent="0.25"/>
    <row r="75" spans="4:9" ht="12" customHeight="1" x14ac:dyDescent="0.25">
      <c r="D75" s="71" t="str">
        <f>'Benchmarking results P2'!C8</f>
        <v>Blue needle = PHX   Red needle = Cohort Ave.</v>
      </c>
      <c r="E75" s="69"/>
      <c r="F75" s="69"/>
      <c r="G75" s="70"/>
    </row>
    <row r="76" spans="4:9" ht="12" customHeight="1" x14ac:dyDescent="0.25"/>
    <row r="87" spans="4:25" x14ac:dyDescent="0.25">
      <c r="K87" s="5"/>
    </row>
    <row r="88" spans="4:25" ht="19.5" customHeight="1" x14ac:dyDescent="0.25"/>
    <row r="89" spans="4:25" ht="18" customHeight="1" x14ac:dyDescent="0.25"/>
    <row r="90" spans="4:25" ht="11.25" customHeight="1" x14ac:dyDescent="0.25">
      <c r="D90" s="71" t="str">
        <f>'Benchmarking results P2'!C8</f>
        <v>Blue needle = PHX   Red needle = Cohort Ave.</v>
      </c>
      <c r="E90" s="69"/>
      <c r="F90" s="69"/>
      <c r="G90" s="70"/>
    </row>
    <row r="94" spans="4:25" x14ac:dyDescent="0.25">
      <c r="R94" s="46"/>
    </row>
    <row r="96" spans="4:25" x14ac:dyDescent="0.25">
      <c r="Y96" s="46"/>
    </row>
  </sheetData>
  <mergeCells count="1">
    <mergeCell ref="L1:O2"/>
  </mergeCells>
  <printOptions horizontalCentered="1"/>
  <pageMargins left="0.11811023622047245" right="0.11811023622047245" top="0.15748031496062992" bottom="0.15748031496062992" header="0" footer="0"/>
  <pageSetup paperSize="9" scale="53" fitToHeight="0" orientation="landscape" cellComments="atEnd" horizontalDpi="4294967293" r:id="rId1"/>
  <rowBreaks count="2" manualBreakCount="2">
    <brk id="17" max="36" man="1"/>
    <brk id="85" max="3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B1:Q32"/>
  <sheetViews>
    <sheetView showGridLines="0" showRowColHeaders="0" zoomScale="90" zoomScaleNormal="90" zoomScalePageLayoutView="90" workbookViewId="0">
      <selection activeCell="Q24" sqref="Q24"/>
    </sheetView>
  </sheetViews>
  <sheetFormatPr defaultColWidth="9.33203125" defaultRowHeight="15" x14ac:dyDescent="0.25"/>
  <cols>
    <col min="1" max="22" width="9.83203125" style="21" customWidth="1"/>
    <col min="23" max="23" width="3.6640625" style="21" customWidth="1"/>
    <col min="24" max="24" width="9.83203125" style="21" customWidth="1"/>
    <col min="25" max="28" width="9.33203125" style="21"/>
    <col min="29" max="29" width="6.5" style="21" customWidth="1"/>
    <col min="30" max="30" width="5" style="21" customWidth="1"/>
    <col min="31" max="16384" width="9.33203125" style="21"/>
  </cols>
  <sheetData>
    <row r="1" spans="2:17" ht="27" customHeight="1" x14ac:dyDescent="0.25">
      <c r="N1" s="98" t="s">
        <v>34</v>
      </c>
      <c r="O1" s="99"/>
      <c r="P1" s="99"/>
      <c r="Q1" s="100"/>
    </row>
    <row r="2" spans="2:17" ht="30.75" customHeight="1" thickBot="1" x14ac:dyDescent="0.3">
      <c r="N2" s="101"/>
      <c r="O2" s="102"/>
      <c r="P2" s="102"/>
      <c r="Q2" s="103"/>
    </row>
    <row r="3" spans="2:17" ht="30.75" customHeight="1" x14ac:dyDescent="0.25"/>
    <row r="5" spans="2:17" x14ac:dyDescent="0.25"/>
    <row r="9" spans="2:17" ht="12" customHeight="1" x14ac:dyDescent="0.25">
      <c r="B9" s="104" t="str">
        <f>'Benchmarking results P2'!C8</f>
        <v>Blue needle = PHX   Red needle = Cohort Ave.</v>
      </c>
      <c r="C9" s="105"/>
      <c r="D9" s="105"/>
      <c r="E9" s="106"/>
      <c r="H9" s="104" t="str">
        <f>'Benchmarking results P2'!C8</f>
        <v>Blue needle = PHX   Red needle = Cohort Ave.</v>
      </c>
      <c r="I9" s="105"/>
      <c r="J9" s="105"/>
      <c r="K9" s="106"/>
    </row>
    <row r="20" spans="2:8" x14ac:dyDescent="0.25"/>
    <row r="22" spans="2:8" ht="12" customHeight="1" x14ac:dyDescent="0.25">
      <c r="D22" s="104" t="str">
        <f>'Benchmarking results P2'!C8</f>
        <v>Blue needle = PHX   Red needle = Cohort Ave.</v>
      </c>
      <c r="E22" s="105"/>
      <c r="F22" s="105"/>
      <c r="G22" s="106"/>
    </row>
    <row r="25" spans="2:8" x14ac:dyDescent="0.25">
      <c r="D25" s="46"/>
    </row>
    <row r="32" spans="2:8" x14ac:dyDescent="0.25">
      <c r="B32" s="20"/>
    </row>
  </sheetData>
  <mergeCells count="4">
    <mergeCell ref="N1:Q2"/>
    <mergeCell ref="B9:E9"/>
    <mergeCell ref="H9:K9"/>
    <mergeCell ref="D22:G22"/>
  </mergeCells>
  <printOptions horizontalCentered="1"/>
  <pageMargins left="0.11811023622047245" right="0.11811023622047245" top="0.15748031496062992" bottom="0.15748031496062992" header="0" footer="0"/>
  <pageSetup paperSize="9" scale="77" fitToHeight="0" orientation="portrait" cellComments="atEnd" horizontalDpi="4294967293"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User Guide</vt:lpstr>
      <vt:lpstr>Introduction</vt:lpstr>
      <vt:lpstr>Workflow analysis</vt:lpstr>
      <vt:lpstr>Benchmarking results P1</vt:lpstr>
      <vt:lpstr>Benchmarking results P2</vt:lpstr>
      <vt:lpstr>Benchmarking results P3</vt:lpstr>
      <vt:lpstr>Benchmarking results P4</vt:lpstr>
      <vt:lpstr>Benchmarking results P5</vt:lpstr>
      <vt:lpstr>Benchmarking results P6</vt:lpstr>
      <vt:lpstr>Benchmarking results P7</vt:lpstr>
      <vt:lpstr>Hypothesis for optimum success</vt:lpstr>
      <vt:lpstr>Change agenda </vt:lpstr>
      <vt:lpstr>Data</vt:lpstr>
      <vt:lpstr>'Benchmarking results P1'!Print_Area</vt:lpstr>
      <vt:lpstr>'Benchmarking results P2'!Print_Area</vt:lpstr>
      <vt:lpstr>'Benchmarking results P3'!Print_Area</vt:lpstr>
      <vt:lpstr>'Benchmarking results P4'!Print_Area</vt:lpstr>
      <vt:lpstr>'Benchmarking results P5'!Print_Area</vt:lpstr>
      <vt:lpstr>'Benchmarking results P6'!Print_Area</vt:lpstr>
      <vt:lpstr>'Benchmarking results P7'!Print_Area</vt:lpstr>
      <vt:lpstr>Introduction!Print_Area</vt:lpstr>
      <vt:lpstr>'User Guide'!Print_Area</vt:lpstr>
      <vt:lpstr>'Workflow analysis'!Print_Area</vt:lpstr>
    </vt:vector>
  </TitlesOfParts>
  <Company>Grizli777</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dc:creator>
  <cp:lastModifiedBy>Jenny Blair</cp:lastModifiedBy>
  <cp:revision/>
  <dcterms:created xsi:type="dcterms:W3CDTF">2011-07-12T23:05:07Z</dcterms:created>
  <dcterms:modified xsi:type="dcterms:W3CDTF">2019-03-14T02:33:49Z</dcterms:modified>
</cp:coreProperties>
</file>